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24226"/>
  <xr:revisionPtr revIDLastSave="0" documentId="13_ncr:1_{31579263-4B4D-427A-8830-EE5BAC624836}" xr6:coauthVersionLast="47" xr6:coauthVersionMax="47" xr10:uidLastSave="{00000000-0000-0000-0000-000000000000}"/>
  <bookViews>
    <workbookView xWindow="-110" yWindow="-110" windowWidth="19420" windowHeight="1030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r:id="rId13"/>
    <sheet name="12.Facility 1 - Trading" sheetId="55" r:id="rId14"/>
    <sheet name="13.Facility 2 Grain Processing" sheetId="72" r:id="rId15"/>
    <sheet name="14. Facility 3 Warehouse" sheetId="42" r:id="rId16"/>
    <sheet name="15. Facility 4 Custom Hiring" sheetId="48" r:id="rId17"/>
    <sheet name="16.Facility 5 Agri Input" sheetId="53" r:id="rId18"/>
    <sheet name="17.Facility 6 Horti Processing " sheetId="84" r:id="rId19"/>
    <sheet name="VGF" sheetId="85" r:id="rId20"/>
    <sheet name="Output" sheetId="87" r:id="rId21"/>
    <sheet name="Sheet2" sheetId="88" r:id="rId22"/>
    <sheet name="Benefit to farmer" sheetId="89" r:id="rId23"/>
  </sheets>
  <externalReferences>
    <externalReference r:id="rId24"/>
    <externalReference r:id="rId25"/>
    <externalReference r:id="rId26"/>
    <externalReference r:id="rId27"/>
    <externalReference r:id="rId28"/>
    <externalReference r:id="rId29"/>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Trading'!$A$1:$J$216</definedName>
    <definedName name="_xlnm.Print_Area" localSheetId="14">'13.Facility 2 Grain Processing'!$A$3:$J$181</definedName>
    <definedName name="_xlnm.Print_Area" localSheetId="15">'14. Facility 3 Warehouse'!$A$1:$K$51</definedName>
    <definedName name="_xlnm.Print_Area" localSheetId="16">'15. Facility 4 Custom Hiring'!$A$1:$U$58</definedName>
    <definedName name="_xlnm.Print_Area" localSheetId="17">'16.Facility 5 Agri Input'!$A$1:$J$281</definedName>
    <definedName name="_xlnm.Print_Area" localSheetId="18">'17.Facility 6 Horti Processing '!$A$1:$J$192</definedName>
    <definedName name="_xlnm.Print_Area" localSheetId="2">'2.Capex Details'!$A$1:$H$127</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_xlnm.Print_Area" localSheetId="22">'Benefit to farmer'!$A$1:$D$34</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workbook>
</file>

<file path=xl/calcChain.xml><?xml version="1.0" encoding="utf-8"?>
<calcChain xmlns="http://schemas.openxmlformats.org/spreadsheetml/2006/main">
  <c r="G32" i="62" l="1"/>
  <c r="E21" i="62"/>
  <c r="C67" i="86"/>
  <c r="C66" i="86"/>
  <c r="C65" i="86"/>
  <c r="C60" i="86"/>
  <c r="C61" i="86"/>
  <c r="C193" i="55"/>
  <c r="G38" i="57"/>
  <c r="G39" i="57" s="1"/>
  <c r="D122" i="57"/>
  <c r="J30" i="42"/>
  <c r="I30" i="42"/>
  <c r="H30" i="42"/>
  <c r="G30" i="42"/>
  <c r="F30" i="42"/>
  <c r="E30" i="42"/>
  <c r="D30" i="42"/>
  <c r="G35" i="57"/>
  <c r="F65" i="57"/>
  <c r="G42" i="57"/>
  <c r="E66" i="86" l="1"/>
  <c r="G41" i="57"/>
  <c r="G19" i="57"/>
  <c r="G18" i="57"/>
  <c r="E60" i="86" s="1"/>
  <c r="F60" i="86" s="1"/>
  <c r="L71" i="86"/>
  <c r="L70" i="86"/>
  <c r="L69" i="86"/>
  <c r="L68" i="86"/>
  <c r="K68" i="86"/>
  <c r="L64" i="86"/>
  <c r="L63" i="86"/>
  <c r="K63" i="86"/>
  <c r="G32" i="57" l="1"/>
  <c r="E61" i="86"/>
  <c r="F61" i="86" s="1"/>
  <c r="F62" i="86" s="1"/>
  <c r="L67" i="86"/>
  <c r="L66" i="86"/>
  <c r="L65" i="86"/>
  <c r="E64" i="86"/>
  <c r="J27" i="42" l="1"/>
  <c r="I27" i="42"/>
  <c r="H27" i="42"/>
  <c r="G27" i="42"/>
  <c r="F27" i="42"/>
  <c r="E27" i="42"/>
  <c r="D27" i="42"/>
  <c r="L27" i="42" s="1"/>
  <c r="H9" i="42"/>
  <c r="G9" i="42"/>
  <c r="F9" i="42"/>
  <c r="M11" i="87"/>
  <c r="N11" i="87" s="1"/>
  <c r="O11" i="87" s="1"/>
  <c r="P11" i="87" s="1"/>
  <c r="Q11" i="87" s="1"/>
  <c r="R11" i="87" s="1"/>
  <c r="D124" i="57"/>
  <c r="F77" i="57"/>
  <c r="F78" i="57"/>
  <c r="F79" i="57"/>
  <c r="F80" i="57"/>
  <c r="F81" i="57"/>
  <c r="F82" i="57"/>
  <c r="F75" i="57"/>
  <c r="F76" i="57"/>
  <c r="F63" i="57"/>
  <c r="F62" i="57"/>
  <c r="F64" i="57"/>
  <c r="F61" i="57"/>
  <c r="F60" i="57"/>
  <c r="F66" i="86"/>
  <c r="F6" i="57" l="1"/>
  <c r="K197" i="55" l="1"/>
  <c r="B144" i="72"/>
  <c r="B145" i="72" s="1"/>
  <c r="C139" i="72"/>
  <c r="C144" i="72"/>
  <c r="C145" i="72"/>
  <c r="C143" i="72"/>
  <c r="C141" i="72"/>
  <c r="C140" i="72"/>
  <c r="B20" i="87"/>
  <c r="A179" i="55" s="1"/>
  <c r="A189" i="55" s="1"/>
  <c r="D171" i="72"/>
  <c r="D170" i="72"/>
  <c r="D174" i="72" s="1"/>
  <c r="K28" i="87"/>
  <c r="K22" i="87"/>
  <c r="A141" i="72" s="1"/>
  <c r="A145" i="72" s="1"/>
  <c r="A152" i="72" s="1"/>
  <c r="K21" i="87"/>
  <c r="K26" i="87" s="1"/>
  <c r="K19" i="87"/>
  <c r="K25" i="87" s="1"/>
  <c r="R9" i="87"/>
  <c r="R10" i="87" s="1"/>
  <c r="Q9" i="87"/>
  <c r="Q10" i="87" s="1"/>
  <c r="P9" i="87"/>
  <c r="P10" i="87" s="1"/>
  <c r="O9" i="87"/>
  <c r="O10" i="87" s="1"/>
  <c r="N9" i="87"/>
  <c r="N10" i="87" s="1"/>
  <c r="M9" i="87"/>
  <c r="M10" i="87" s="1"/>
  <c r="L9" i="87"/>
  <c r="D153" i="72" s="1"/>
  <c r="B22" i="87"/>
  <c r="A181" i="55" s="1"/>
  <c r="A191" i="55" s="1"/>
  <c r="B21" i="87"/>
  <c r="A180" i="55" s="1"/>
  <c r="A190" i="55" s="1"/>
  <c r="B19" i="87"/>
  <c r="A178" i="55" s="1"/>
  <c r="A188" i="55" s="1"/>
  <c r="F74" i="57"/>
  <c r="F59" i="57"/>
  <c r="F66" i="57" s="1"/>
  <c r="E8" i="22"/>
  <c r="E50" i="48"/>
  <c r="F50" i="48"/>
  <c r="G50" i="48"/>
  <c r="H50" i="48"/>
  <c r="I50" i="48"/>
  <c r="J50" i="48"/>
  <c r="K50" i="48"/>
  <c r="A22" i="89"/>
  <c r="A21" i="89"/>
  <c r="C21" i="89"/>
  <c r="D21" i="89" s="1"/>
  <c r="B21" i="89"/>
  <c r="C27" i="89"/>
  <c r="C30" i="89" s="1"/>
  <c r="B27" i="89"/>
  <c r="B30" i="89" s="1"/>
  <c r="D29" i="89"/>
  <c r="D28" i="89"/>
  <c r="A32" i="89"/>
  <c r="A31" i="89"/>
  <c r="A29" i="89"/>
  <c r="A28" i="89"/>
  <c r="A27" i="89"/>
  <c r="C8" i="89"/>
  <c r="D8" i="89" s="1"/>
  <c r="B8" i="89"/>
  <c r="B22" i="89" s="1"/>
  <c r="D3" i="89"/>
  <c r="D25" i="89"/>
  <c r="C25" i="89"/>
  <c r="B25" i="89"/>
  <c r="A36" i="48"/>
  <c r="B16" i="48"/>
  <c r="A35" i="48" s="1"/>
  <c r="B15" i="48"/>
  <c r="A34" i="48" s="1"/>
  <c r="B14" i="48"/>
  <c r="A33" i="48" s="1"/>
  <c r="B12" i="48"/>
  <c r="A31" i="48" s="1"/>
  <c r="K8" i="88"/>
  <c r="K7" i="88"/>
  <c r="J7" i="88"/>
  <c r="B13" i="48"/>
  <c r="A32" i="48" s="1"/>
  <c r="F8" i="48"/>
  <c r="H8" i="48" s="1"/>
  <c r="J8" i="48" s="1"/>
  <c r="M8" i="48"/>
  <c r="D204" i="55"/>
  <c r="F22" i="48"/>
  <c r="G22" i="48" s="1"/>
  <c r="E172" i="55"/>
  <c r="D8" i="87"/>
  <c r="E8" i="87" s="1"/>
  <c r="C9" i="87"/>
  <c r="D192" i="55" s="1"/>
  <c r="G34" i="57"/>
  <c r="G36" i="57" s="1"/>
  <c r="G40" i="57"/>
  <c r="B10" i="42"/>
  <c r="D21" i="42" s="1"/>
  <c r="D23" i="42" s="1"/>
  <c r="B14" i="55"/>
  <c r="B63" i="55"/>
  <c r="B15" i="55"/>
  <c r="B16" i="55"/>
  <c r="B17" i="55"/>
  <c r="B18" i="55"/>
  <c r="B75" i="55" s="1"/>
  <c r="B19" i="55"/>
  <c r="B20" i="55"/>
  <c r="B21" i="55"/>
  <c r="B22" i="55"/>
  <c r="B79" i="55" s="1"/>
  <c r="B23" i="55"/>
  <c r="B24" i="55"/>
  <c r="B25" i="55"/>
  <c r="B26" i="55"/>
  <c r="B83" i="55" s="1"/>
  <c r="B27" i="55"/>
  <c r="B28" i="55"/>
  <c r="B29" i="55"/>
  <c r="B30" i="55"/>
  <c r="B87" i="55" s="1"/>
  <c r="B31" i="55"/>
  <c r="B32" i="55"/>
  <c r="B11" i="55"/>
  <c r="B12" i="55"/>
  <c r="B69" i="55" s="1"/>
  <c r="B121" i="55" s="1"/>
  <c r="B13" i="55"/>
  <c r="B35" i="55"/>
  <c r="B92" i="55" s="1"/>
  <c r="B36" i="55"/>
  <c r="B93" i="55" s="1"/>
  <c r="B145" i="55" s="1"/>
  <c r="B37" i="55"/>
  <c r="B94" i="55" s="1"/>
  <c r="B38" i="55"/>
  <c r="B95" i="55" s="1"/>
  <c r="B39" i="55"/>
  <c r="B96" i="55" s="1"/>
  <c r="B148" i="55" s="1"/>
  <c r="B40" i="55"/>
  <c r="B97" i="55" s="1"/>
  <c r="B149" i="55" s="1"/>
  <c r="B41" i="55"/>
  <c r="B98" i="55" s="1"/>
  <c r="B42" i="55"/>
  <c r="B99" i="55" s="1"/>
  <c r="B43" i="55"/>
  <c r="B100" i="55" s="1"/>
  <c r="B152" i="55" s="1"/>
  <c r="B44" i="55"/>
  <c r="B101" i="55" s="1"/>
  <c r="B153" i="55" s="1"/>
  <c r="B45" i="55"/>
  <c r="B102" i="55" s="1"/>
  <c r="B46" i="55"/>
  <c r="B103" i="55" s="1"/>
  <c r="B47" i="55"/>
  <c r="B104" i="55" s="1"/>
  <c r="B48" i="55"/>
  <c r="B105" i="55" s="1"/>
  <c r="B157" i="55" s="1"/>
  <c r="B49" i="55"/>
  <c r="B106" i="55" s="1"/>
  <c r="B50" i="55"/>
  <c r="B107" i="55" s="1"/>
  <c r="B51" i="55"/>
  <c r="B108" i="55" s="1"/>
  <c r="B52" i="55"/>
  <c r="B109" i="55" s="1"/>
  <c r="B161" i="55" s="1"/>
  <c r="B162" i="55"/>
  <c r="B163" i="55"/>
  <c r="B164" i="55"/>
  <c r="B56" i="55"/>
  <c r="B113" i="55" s="1"/>
  <c r="B57" i="55"/>
  <c r="B114" i="55" s="1"/>
  <c r="B58" i="55"/>
  <c r="B115" i="55" s="1"/>
  <c r="B167" i="55" s="1"/>
  <c r="B59" i="55"/>
  <c r="B116" i="55" s="1"/>
  <c r="B168" i="55" s="1"/>
  <c r="D27" i="48"/>
  <c r="F9" i="48"/>
  <c r="H9" i="48" s="1"/>
  <c r="D28" i="48"/>
  <c r="F10" i="48"/>
  <c r="H10" i="48" s="1"/>
  <c r="C29" i="48" s="1"/>
  <c r="D29" i="48"/>
  <c r="F11" i="48"/>
  <c r="H11" i="48" s="1"/>
  <c r="D30" i="48"/>
  <c r="D31" i="48"/>
  <c r="D32" i="48"/>
  <c r="D33" i="48"/>
  <c r="D34" i="48"/>
  <c r="D35" i="48"/>
  <c r="C36" i="48"/>
  <c r="E36" i="48" s="1"/>
  <c r="D36" i="48"/>
  <c r="B5" i="55"/>
  <c r="H48" i="57"/>
  <c r="B166" i="84" s="1"/>
  <c r="G166" i="84" s="1"/>
  <c r="D28" i="42"/>
  <c r="L28" i="42" s="1"/>
  <c r="M11" i="48"/>
  <c r="M10" i="48"/>
  <c r="M9" i="48"/>
  <c r="M12" i="48"/>
  <c r="M13" i="48"/>
  <c r="M14" i="48"/>
  <c r="M15" i="48"/>
  <c r="M16" i="48"/>
  <c r="G7" i="57"/>
  <c r="E133" i="72"/>
  <c r="E170" i="72" s="1"/>
  <c r="B7" i="81"/>
  <c r="B9" i="81"/>
  <c r="D14" i="81"/>
  <c r="B92" i="81"/>
  <c r="C9" i="53"/>
  <c r="C62" i="53"/>
  <c r="D130" i="53"/>
  <c r="D15" i="81"/>
  <c r="B93" i="81"/>
  <c r="C10" i="53"/>
  <c r="C63" i="53"/>
  <c r="D131" i="53"/>
  <c r="D16" i="81"/>
  <c r="B94" i="81"/>
  <c r="C11" i="53"/>
  <c r="C64" i="53"/>
  <c r="D132" i="53"/>
  <c r="D17" i="81"/>
  <c r="B95" i="81"/>
  <c r="C12" i="53"/>
  <c r="C65" i="53"/>
  <c r="D133" i="53"/>
  <c r="D18" i="81"/>
  <c r="B96" i="81"/>
  <c r="C13" i="53"/>
  <c r="C66" i="53"/>
  <c r="D134" i="53"/>
  <c r="D19" i="81"/>
  <c r="B97" i="81"/>
  <c r="C14" i="53"/>
  <c r="C67" i="53"/>
  <c r="D135" i="53"/>
  <c r="D20" i="81"/>
  <c r="B98" i="81"/>
  <c r="C15" i="53"/>
  <c r="C68" i="53"/>
  <c r="D136" i="53"/>
  <c r="D21" i="81"/>
  <c r="B99" i="81"/>
  <c r="C16" i="53"/>
  <c r="C69" i="53"/>
  <c r="D137" i="53"/>
  <c r="C23" i="81"/>
  <c r="D24" i="81"/>
  <c r="B101" i="81"/>
  <c r="C18" i="53"/>
  <c r="C71" i="53"/>
  <c r="D139" i="53"/>
  <c r="D25" i="81"/>
  <c r="B102" i="81"/>
  <c r="C19" i="53"/>
  <c r="C72" i="53"/>
  <c r="D140" i="53"/>
  <c r="D26" i="81"/>
  <c r="B103" i="81"/>
  <c r="C20" i="53"/>
  <c r="C73" i="53"/>
  <c r="D141" i="53"/>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D148" i="53"/>
  <c r="B111" i="81"/>
  <c r="C28" i="53"/>
  <c r="C81" i="53"/>
  <c r="D149" i="53"/>
  <c r="D36" i="81"/>
  <c r="B112" i="81"/>
  <c r="C29" i="53"/>
  <c r="C82" i="53"/>
  <c r="D150" i="53"/>
  <c r="B7" i="83"/>
  <c r="B9" i="83"/>
  <c r="D14" i="83"/>
  <c r="B102" i="83"/>
  <c r="C33" i="53"/>
  <c r="C86" i="53"/>
  <c r="D15" i="83"/>
  <c r="B103" i="83"/>
  <c r="C34" i="53"/>
  <c r="C87" i="53"/>
  <c r="D16" i="83"/>
  <c r="B104" i="83"/>
  <c r="C35" i="53"/>
  <c r="C88" i="53"/>
  <c r="D17" i="83"/>
  <c r="B105" i="83"/>
  <c r="C36" i="53"/>
  <c r="C89" i="53"/>
  <c r="D18" i="83"/>
  <c r="B106" i="83"/>
  <c r="C37" i="53"/>
  <c r="C90" i="53"/>
  <c r="D19" i="83"/>
  <c r="B107" i="83"/>
  <c r="C38" i="53"/>
  <c r="C91" i="53"/>
  <c r="D20" i="83"/>
  <c r="B108" i="83"/>
  <c r="C39" i="53"/>
  <c r="C92" i="53"/>
  <c r="D21" i="83"/>
  <c r="B109" i="83"/>
  <c r="C40" i="53"/>
  <c r="C93" i="53"/>
  <c r="D22" i="83"/>
  <c r="B110" i="83"/>
  <c r="C41" i="53"/>
  <c r="C94" i="53"/>
  <c r="C23" i="83"/>
  <c r="D24" i="83"/>
  <c r="B111" i="83"/>
  <c r="C42" i="53"/>
  <c r="C95" i="53"/>
  <c r="D25" i="83"/>
  <c r="B112" i="83"/>
  <c r="C43" i="53"/>
  <c r="C96" i="53"/>
  <c r="D26" i="83"/>
  <c r="B113" i="83"/>
  <c r="C44" i="53"/>
  <c r="C97" i="5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C114" i="53"/>
  <c r="D182" i="53"/>
  <c r="C115" i="53"/>
  <c r="D183" i="53"/>
  <c r="C116" i="53"/>
  <c r="D184" i="53"/>
  <c r="C118" i="53"/>
  <c r="D187" i="53"/>
  <c r="C119"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91" i="53"/>
  <c r="E35" i="61"/>
  <c r="F14" i="81"/>
  <c r="H14" i="81"/>
  <c r="B42" i="81"/>
  <c r="F15" i="81"/>
  <c r="H15" i="81"/>
  <c r="B43" i="81"/>
  <c r="F16" i="81"/>
  <c r="H16" i="81"/>
  <c r="B44" i="81"/>
  <c r="F17" i="81"/>
  <c r="H17" i="81"/>
  <c r="B45" i="81"/>
  <c r="F18" i="81"/>
  <c r="H18" i="81"/>
  <c r="B46" i="81"/>
  <c r="F19" i="81"/>
  <c r="H19" i="81"/>
  <c r="B47" i="81"/>
  <c r="F20" i="81"/>
  <c r="H20" i="81"/>
  <c r="B48" i="81"/>
  <c r="F21" i="81"/>
  <c r="H21" i="81"/>
  <c r="B49" i="81"/>
  <c r="D22" i="81"/>
  <c r="F22" i="81"/>
  <c r="H22" i="81"/>
  <c r="B50" i="81"/>
  <c r="F24" i="81"/>
  <c r="H24" i="81"/>
  <c r="B51" i="81"/>
  <c r="F25" i="81"/>
  <c r="H25" i="81"/>
  <c r="B52" i="81"/>
  <c r="F26" i="81"/>
  <c r="H26" i="81"/>
  <c r="B53" i="81"/>
  <c r="F27" i="81"/>
  <c r="H27" i="81"/>
  <c r="B54" i="81"/>
  <c r="F28" i="81"/>
  <c r="H28" i="81"/>
  <c r="B55" i="81"/>
  <c r="F29" i="81"/>
  <c r="H29" i="81"/>
  <c r="B56" i="81"/>
  <c r="F30" i="81"/>
  <c r="H30" i="81"/>
  <c r="B57" i="81"/>
  <c r="F31" i="81"/>
  <c r="H31" i="81"/>
  <c r="B58" i="81"/>
  <c r="D33" i="81"/>
  <c r="F33" i="81"/>
  <c r="H33" i="81"/>
  <c r="B59" i="81"/>
  <c r="F34" i="81"/>
  <c r="H34" i="81"/>
  <c r="B60" i="81"/>
  <c r="D35" i="81"/>
  <c r="F35" i="81"/>
  <c r="H35" i="81"/>
  <c r="B61" i="81"/>
  <c r="F36" i="81"/>
  <c r="H36" i="81"/>
  <c r="B62" i="81"/>
  <c r="F14" i="83"/>
  <c r="H14" i="83"/>
  <c r="B46" i="83"/>
  <c r="F15" i="83"/>
  <c r="H15" i="83"/>
  <c r="B47" i="83"/>
  <c r="F16" i="83"/>
  <c r="H16" i="83"/>
  <c r="B48" i="83"/>
  <c r="F17" i="83"/>
  <c r="H17" i="83"/>
  <c r="B49" i="83"/>
  <c r="F18" i="83"/>
  <c r="H18" i="83"/>
  <c r="B50" i="83"/>
  <c r="F19" i="83"/>
  <c r="H19" i="83"/>
  <c r="B51" i="83"/>
  <c r="F20" i="83"/>
  <c r="H20" i="83"/>
  <c r="B52" i="83"/>
  <c r="F21" i="83"/>
  <c r="H21" i="83"/>
  <c r="B53" i="83"/>
  <c r="F22" i="83"/>
  <c r="H22" i="83"/>
  <c r="B54" i="83"/>
  <c r="F24" i="83"/>
  <c r="H24" i="83"/>
  <c r="B55" i="83"/>
  <c r="F25" i="83"/>
  <c r="H25" i="83"/>
  <c r="B56" i="83"/>
  <c r="F26" i="83"/>
  <c r="H26" i="83"/>
  <c r="B57" i="83"/>
  <c r="F27" i="83"/>
  <c r="H27" i="83"/>
  <c r="B58" i="83"/>
  <c r="F28" i="83"/>
  <c r="H28" i="83"/>
  <c r="B59" i="83"/>
  <c r="F29" i="83"/>
  <c r="H29" i="83"/>
  <c r="B60" i="83"/>
  <c r="F30" i="83"/>
  <c r="H30" i="83"/>
  <c r="B61" i="83"/>
  <c r="F31" i="83"/>
  <c r="H31" i="83"/>
  <c r="B62" i="83"/>
  <c r="F33" i="83"/>
  <c r="H33" i="83"/>
  <c r="B63" i="83"/>
  <c r="F37" i="83"/>
  <c r="H37" i="83"/>
  <c r="B67" i="83"/>
  <c r="F38" i="83"/>
  <c r="H38" i="83"/>
  <c r="B68" i="83"/>
  <c r="F39" i="83"/>
  <c r="H39" i="83"/>
  <c r="B69" i="83"/>
  <c r="F40" i="83"/>
  <c r="H40" i="83"/>
  <c r="B70" i="83"/>
  <c r="B95" i="83"/>
  <c r="B34" i="84"/>
  <c r="B62" i="84"/>
  <c r="B124" i="84"/>
  <c r="B141" i="84"/>
  <c r="D154" i="84"/>
  <c r="B125" i="84"/>
  <c r="B142" i="84"/>
  <c r="D155" i="84"/>
  <c r="B126" i="84"/>
  <c r="B143" i="84"/>
  <c r="D156" i="84"/>
  <c r="D159" i="84"/>
  <c r="E40" i="61"/>
  <c r="D198" i="53"/>
  <c r="D199" i="53"/>
  <c r="D200" i="53"/>
  <c r="D201" i="53"/>
  <c r="D202" i="53"/>
  <c r="D203" i="53"/>
  <c r="D204" i="53"/>
  <c r="D205" i="53"/>
  <c r="D207" i="53"/>
  <c r="D208" i="53"/>
  <c r="D209" i="53"/>
  <c r="D210" i="53"/>
  <c r="D211" i="53"/>
  <c r="D212" i="53"/>
  <c r="D213" i="53"/>
  <c r="D214" i="53"/>
  <c r="D216" i="53"/>
  <c r="D217" i="53"/>
  <c r="D218" i="53"/>
  <c r="D246" i="53"/>
  <c r="D247" i="53"/>
  <c r="D248" i="53"/>
  <c r="D251" i="53"/>
  <c r="D252" i="53"/>
  <c r="D254" i="53"/>
  <c r="D255" i="53"/>
  <c r="D222" i="53"/>
  <c r="D223" i="53"/>
  <c r="D224" i="53"/>
  <c r="D225" i="53"/>
  <c r="D226" i="53"/>
  <c r="D227" i="53"/>
  <c r="D228" i="53"/>
  <c r="D229" i="53"/>
  <c r="D230" i="53"/>
  <c r="D231" i="53"/>
  <c r="D232" i="53"/>
  <c r="D233" i="53"/>
  <c r="D234" i="53"/>
  <c r="D235" i="53"/>
  <c r="D236" i="53"/>
  <c r="D237" i="53"/>
  <c r="D238" i="53"/>
  <c r="D239" i="53"/>
  <c r="D240" i="53"/>
  <c r="D241" i="53"/>
  <c r="D242" i="53"/>
  <c r="D243" i="53"/>
  <c r="E15" i="61"/>
  <c r="D163" i="84"/>
  <c r="D164"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D167" i="84"/>
  <c r="D168" i="84"/>
  <c r="D169" i="84"/>
  <c r="E48" i="61"/>
  <c r="D29" i="42"/>
  <c r="F133" i="72"/>
  <c r="C42" i="81"/>
  <c r="D42" i="81"/>
  <c r="E42" i="81"/>
  <c r="F42" i="81"/>
  <c r="G42" i="81"/>
  <c r="H42" i="81"/>
  <c r="H11" i="55"/>
  <c r="C43" i="81"/>
  <c r="D43" i="81"/>
  <c r="E43" i="81"/>
  <c r="F43" i="81"/>
  <c r="G43" i="81"/>
  <c r="H43" i="81"/>
  <c r="H12" i="55"/>
  <c r="C44" i="81"/>
  <c r="D44" i="81"/>
  <c r="E44" i="81"/>
  <c r="F44" i="81"/>
  <c r="G44" i="81"/>
  <c r="H44" i="81"/>
  <c r="H13" i="55"/>
  <c r="C45" i="81"/>
  <c r="D45" i="81"/>
  <c r="E45" i="81"/>
  <c r="F45" i="81"/>
  <c r="G45" i="81"/>
  <c r="H45" i="81"/>
  <c r="H14" i="55"/>
  <c r="C46" i="81"/>
  <c r="D46" i="81"/>
  <c r="E46" i="81"/>
  <c r="F46" i="81"/>
  <c r="G46" i="81"/>
  <c r="H46" i="81"/>
  <c r="H15" i="55"/>
  <c r="C47" i="81"/>
  <c r="D47" i="81"/>
  <c r="E47" i="81"/>
  <c r="F47" i="81"/>
  <c r="G47" i="81"/>
  <c r="H47" i="81"/>
  <c r="H16" i="55"/>
  <c r="C48" i="81"/>
  <c r="D48" i="81"/>
  <c r="E48" i="81"/>
  <c r="F48" i="81"/>
  <c r="G48" i="81"/>
  <c r="H48" i="81"/>
  <c r="H17" i="55"/>
  <c r="C49" i="81"/>
  <c r="D49" i="81"/>
  <c r="E49" i="81"/>
  <c r="F49" i="81"/>
  <c r="G49" i="81"/>
  <c r="H49" i="81"/>
  <c r="H18" i="55"/>
  <c r="C50" i="81"/>
  <c r="D50" i="81"/>
  <c r="E50" i="81"/>
  <c r="F50" i="81"/>
  <c r="G50" i="81"/>
  <c r="H50" i="81"/>
  <c r="H19" i="55"/>
  <c r="C51" i="81"/>
  <c r="D51" i="81"/>
  <c r="E51" i="81"/>
  <c r="F51" i="81"/>
  <c r="G51" i="81"/>
  <c r="H51" i="81"/>
  <c r="H20" i="55"/>
  <c r="C52" i="81"/>
  <c r="D52" i="81"/>
  <c r="E52" i="81"/>
  <c r="F52" i="81"/>
  <c r="G52" i="81"/>
  <c r="H52" i="81"/>
  <c r="H21" i="55"/>
  <c r="C53" i="81"/>
  <c r="D53" i="81"/>
  <c r="E53" i="81"/>
  <c r="F53" i="81"/>
  <c r="G53" i="81"/>
  <c r="H53" i="81"/>
  <c r="H22" i="55"/>
  <c r="C54" i="81"/>
  <c r="D54" i="81"/>
  <c r="E54" i="81"/>
  <c r="F54" i="81"/>
  <c r="G54" i="81"/>
  <c r="H54" i="81"/>
  <c r="H23" i="55"/>
  <c r="C55" i="81"/>
  <c r="D55" i="81"/>
  <c r="E55" i="81"/>
  <c r="F55" i="81"/>
  <c r="G55" i="81"/>
  <c r="H55" i="81"/>
  <c r="H24" i="55"/>
  <c r="C56" i="81"/>
  <c r="D56" i="81"/>
  <c r="E56" i="81"/>
  <c r="F56" i="81"/>
  <c r="G56" i="81"/>
  <c r="H56" i="81"/>
  <c r="H25" i="55"/>
  <c r="C57" i="81"/>
  <c r="D57" i="81"/>
  <c r="E57" i="81"/>
  <c r="F57" i="81"/>
  <c r="G57" i="81"/>
  <c r="H57" i="81"/>
  <c r="H26" i="55"/>
  <c r="C58" i="81"/>
  <c r="D58" i="81"/>
  <c r="E58" i="81"/>
  <c r="F58" i="81"/>
  <c r="G58" i="81"/>
  <c r="H58" i="81"/>
  <c r="H27" i="55"/>
  <c r="C59" i="81"/>
  <c r="D59" i="81"/>
  <c r="E59" i="81"/>
  <c r="F59" i="81"/>
  <c r="G59" i="81"/>
  <c r="H59" i="81"/>
  <c r="H28" i="55"/>
  <c r="C60" i="81"/>
  <c r="D60" i="81"/>
  <c r="E60" i="81"/>
  <c r="F60" i="81"/>
  <c r="G60" i="81"/>
  <c r="H60" i="81"/>
  <c r="H29" i="55"/>
  <c r="C61" i="81"/>
  <c r="D61" i="81"/>
  <c r="E61" i="81"/>
  <c r="F61" i="81"/>
  <c r="G61" i="81"/>
  <c r="H61" i="81"/>
  <c r="H30" i="55"/>
  <c r="C62" i="81"/>
  <c r="D62" i="81"/>
  <c r="E62" i="81"/>
  <c r="F62" i="81"/>
  <c r="G62" i="81"/>
  <c r="H62" i="81"/>
  <c r="H31" i="55"/>
  <c r="H32" i="55"/>
  <c r="G11" i="55"/>
  <c r="G12" i="55"/>
  <c r="G13" i="55"/>
  <c r="G14" i="55"/>
  <c r="G15" i="55"/>
  <c r="G16" i="55"/>
  <c r="G17" i="55"/>
  <c r="G18" i="55"/>
  <c r="G19" i="55"/>
  <c r="G20" i="55"/>
  <c r="G21" i="55"/>
  <c r="G22" i="55"/>
  <c r="G23" i="55"/>
  <c r="G24" i="55"/>
  <c r="G25" i="55"/>
  <c r="G26" i="55"/>
  <c r="G27" i="55"/>
  <c r="G28" i="55"/>
  <c r="G29" i="55"/>
  <c r="G30" i="55"/>
  <c r="G31" i="55"/>
  <c r="G32" i="55"/>
  <c r="G63" i="55"/>
  <c r="C46" i="83"/>
  <c r="D46" i="83"/>
  <c r="E46" i="83"/>
  <c r="F46" i="83"/>
  <c r="G46" i="83"/>
  <c r="G35" i="55"/>
  <c r="G92" i="55" s="1"/>
  <c r="G144" i="55" s="1"/>
  <c r="C47" i="83"/>
  <c r="D47" i="83"/>
  <c r="E47" i="83"/>
  <c r="F47" i="83"/>
  <c r="G47" i="83"/>
  <c r="G36" i="55"/>
  <c r="G93" i="55" s="1"/>
  <c r="G145" i="55" s="1"/>
  <c r="C48" i="83"/>
  <c r="D48" i="83"/>
  <c r="E48" i="83"/>
  <c r="F48" i="83"/>
  <c r="G48" i="83"/>
  <c r="G37" i="55"/>
  <c r="G94" i="55" s="1"/>
  <c r="G146" i="55" s="1"/>
  <c r="C49" i="83"/>
  <c r="D49" i="83"/>
  <c r="E49" i="83"/>
  <c r="F49" i="83"/>
  <c r="G49" i="83"/>
  <c r="G38" i="55"/>
  <c r="G95" i="55" s="1"/>
  <c r="G147" i="55" s="1"/>
  <c r="C50" i="83"/>
  <c r="D50" i="83"/>
  <c r="E50" i="83"/>
  <c r="F50" i="83"/>
  <c r="G50" i="83"/>
  <c r="G39" i="55"/>
  <c r="G96" i="55" s="1"/>
  <c r="G148" i="55" s="1"/>
  <c r="C51" i="83"/>
  <c r="D51" i="83"/>
  <c r="E51" i="83"/>
  <c r="F51" i="83"/>
  <c r="G51" i="83"/>
  <c r="G40" i="55"/>
  <c r="G97" i="55" s="1"/>
  <c r="G149" i="55" s="1"/>
  <c r="C52" i="83"/>
  <c r="D52" i="83"/>
  <c r="E52" i="83"/>
  <c r="F52" i="83"/>
  <c r="G52" i="83"/>
  <c r="G41" i="55"/>
  <c r="G98" i="55" s="1"/>
  <c r="G150" i="55" s="1"/>
  <c r="C53" i="83"/>
  <c r="D53" i="83"/>
  <c r="E53" i="83"/>
  <c r="F53" i="83"/>
  <c r="G53" i="83"/>
  <c r="G42" i="55"/>
  <c r="G99" i="55" s="1"/>
  <c r="G151" i="55" s="1"/>
  <c r="C54" i="83"/>
  <c r="D54" i="83"/>
  <c r="E54" i="83"/>
  <c r="F54" i="83"/>
  <c r="G54" i="83"/>
  <c r="G43" i="55"/>
  <c r="G100" i="55" s="1"/>
  <c r="G152" i="55" s="1"/>
  <c r="C55" i="83"/>
  <c r="D55" i="83"/>
  <c r="E55" i="83"/>
  <c r="F55" i="83"/>
  <c r="G55" i="83"/>
  <c r="G44" i="55"/>
  <c r="G101" i="55" s="1"/>
  <c r="G153" i="55" s="1"/>
  <c r="C56" i="83"/>
  <c r="D56" i="83"/>
  <c r="E56" i="83"/>
  <c r="F56" i="83"/>
  <c r="G56" i="83"/>
  <c r="G45" i="55"/>
  <c r="G102" i="55" s="1"/>
  <c r="G154" i="55" s="1"/>
  <c r="C57" i="83"/>
  <c r="D57" i="83"/>
  <c r="E57" i="83"/>
  <c r="F57" i="83"/>
  <c r="G57" i="83"/>
  <c r="G46" i="55"/>
  <c r="G103" i="55" s="1"/>
  <c r="G155" i="55" s="1"/>
  <c r="C58" i="83"/>
  <c r="D58" i="83"/>
  <c r="E58" i="83"/>
  <c r="F58" i="83"/>
  <c r="G58" i="83"/>
  <c r="G47" i="55"/>
  <c r="G104" i="55" s="1"/>
  <c r="G156" i="55" s="1"/>
  <c r="C59" i="83"/>
  <c r="D59" i="83"/>
  <c r="E59" i="83"/>
  <c r="F59" i="83"/>
  <c r="G59" i="83"/>
  <c r="G48" i="55"/>
  <c r="G105" i="55" s="1"/>
  <c r="G157" i="55" s="1"/>
  <c r="C60" i="83"/>
  <c r="D60" i="83"/>
  <c r="E60" i="83"/>
  <c r="F60" i="83"/>
  <c r="G60" i="83"/>
  <c r="G49" i="55"/>
  <c r="G106" i="55" s="1"/>
  <c r="G158" i="55" s="1"/>
  <c r="C61" i="83"/>
  <c r="D61" i="83"/>
  <c r="E61" i="83"/>
  <c r="F61" i="83"/>
  <c r="G61" i="83"/>
  <c r="G50" i="55"/>
  <c r="G107" i="55" s="1"/>
  <c r="G159" i="55" s="1"/>
  <c r="C62" i="83"/>
  <c r="D62" i="83"/>
  <c r="E62" i="83"/>
  <c r="F62" i="83"/>
  <c r="G62" i="83"/>
  <c r="G51" i="55"/>
  <c r="G108" i="55" s="1"/>
  <c r="G160" i="55" s="1"/>
  <c r="C63" i="83"/>
  <c r="D63" i="83"/>
  <c r="E63" i="83"/>
  <c r="F63" i="83"/>
  <c r="G63" i="83"/>
  <c r="G52" i="55"/>
  <c r="G109" i="55" s="1"/>
  <c r="G161" i="55" s="1"/>
  <c r="C67" i="83"/>
  <c r="D67" i="83"/>
  <c r="E67" i="83"/>
  <c r="F67" i="83"/>
  <c r="G67" i="83"/>
  <c r="G56" i="55"/>
  <c r="G113" i="55" s="1"/>
  <c r="G165" i="55" s="1"/>
  <c r="C68" i="83"/>
  <c r="D68" i="83"/>
  <c r="E68" i="83"/>
  <c r="F68" i="83"/>
  <c r="G68" i="83"/>
  <c r="G57" i="55"/>
  <c r="G114" i="55" s="1"/>
  <c r="G166" i="55" s="1"/>
  <c r="C69" i="83"/>
  <c r="D69" i="83"/>
  <c r="E69" i="83"/>
  <c r="F69" i="83"/>
  <c r="G69" i="83"/>
  <c r="G58" i="55"/>
  <c r="G115" i="55" s="1"/>
  <c r="G167" i="55" s="1"/>
  <c r="C70" i="83"/>
  <c r="D70" i="83"/>
  <c r="E70" i="83"/>
  <c r="F70" i="83"/>
  <c r="G70" i="83"/>
  <c r="G59" i="55"/>
  <c r="G116" i="55" s="1"/>
  <c r="G168" i="55" s="1"/>
  <c r="H63" i="55"/>
  <c r="H46" i="83"/>
  <c r="H35" i="55"/>
  <c r="H92" i="55" s="1"/>
  <c r="H47" i="83"/>
  <c r="H36" i="55"/>
  <c r="H93" i="55" s="1"/>
  <c r="H145" i="55" s="1"/>
  <c r="H48" i="83"/>
  <c r="H37" i="55"/>
  <c r="H94" i="55" s="1"/>
  <c r="H49" i="83"/>
  <c r="H38" i="55"/>
  <c r="H95" i="55" s="1"/>
  <c r="H147" i="55" s="1"/>
  <c r="H50" i="83"/>
  <c r="H39" i="55"/>
  <c r="H96" i="55" s="1"/>
  <c r="H51" i="83"/>
  <c r="H40" i="55"/>
  <c r="H97" i="55" s="1"/>
  <c r="H149" i="55" s="1"/>
  <c r="H52" i="83"/>
  <c r="H41" i="55"/>
  <c r="H98" i="55" s="1"/>
  <c r="H53" i="83"/>
  <c r="H42" i="55"/>
  <c r="H99" i="55" s="1"/>
  <c r="H151" i="55" s="1"/>
  <c r="H54" i="83"/>
  <c r="H43" i="55"/>
  <c r="H100" i="55" s="1"/>
  <c r="H55" i="83"/>
  <c r="H44" i="55"/>
  <c r="H101" i="55" s="1"/>
  <c r="H153" i="55" s="1"/>
  <c r="H56" i="83"/>
  <c r="H45" i="55"/>
  <c r="H102" i="55" s="1"/>
  <c r="H57" i="83"/>
  <c r="H46" i="55"/>
  <c r="H103" i="55" s="1"/>
  <c r="H155" i="55" s="1"/>
  <c r="H58" i="83"/>
  <c r="H47" i="55"/>
  <c r="H104" i="55" s="1"/>
  <c r="H59" i="83"/>
  <c r="H48" i="55"/>
  <c r="H105" i="55" s="1"/>
  <c r="H157" i="55" s="1"/>
  <c r="H60" i="83"/>
  <c r="H49" i="55"/>
  <c r="H106" i="55" s="1"/>
  <c r="H61" i="83"/>
  <c r="H50" i="55"/>
  <c r="H107" i="55" s="1"/>
  <c r="H159" i="55" s="1"/>
  <c r="H62" i="83"/>
  <c r="H51" i="55"/>
  <c r="H108" i="55" s="1"/>
  <c r="H63" i="83"/>
  <c r="H52" i="55"/>
  <c r="H109" i="55" s="1"/>
  <c r="H161" i="55" s="1"/>
  <c r="H67" i="83"/>
  <c r="H56" i="55"/>
  <c r="H113" i="55" s="1"/>
  <c r="H68" i="83"/>
  <c r="H57" i="55"/>
  <c r="H114" i="55" s="1"/>
  <c r="H166" i="55" s="1"/>
  <c r="H69" i="83"/>
  <c r="H58" i="55"/>
  <c r="H115" i="55" s="1"/>
  <c r="H70" i="83"/>
  <c r="H59" i="55"/>
  <c r="H116" i="55" s="1"/>
  <c r="H168" i="55" s="1"/>
  <c r="B67" i="81"/>
  <c r="C67" i="81"/>
  <c r="D67" i="81"/>
  <c r="E67" i="81"/>
  <c r="F67" i="81"/>
  <c r="G67" i="81"/>
  <c r="H67" i="81"/>
  <c r="H13" i="72"/>
  <c r="B68" i="81"/>
  <c r="C68" i="81"/>
  <c r="D68" i="81"/>
  <c r="E68" i="81"/>
  <c r="F68" i="81"/>
  <c r="G68" i="81"/>
  <c r="H68" i="81"/>
  <c r="H14" i="72"/>
  <c r="B69" i="81"/>
  <c r="C69" i="81"/>
  <c r="D69" i="81"/>
  <c r="E69" i="81"/>
  <c r="F69" i="81"/>
  <c r="G69" i="81"/>
  <c r="H69" i="81"/>
  <c r="H15" i="72"/>
  <c r="B70" i="81"/>
  <c r="C70" i="81"/>
  <c r="D70" i="81"/>
  <c r="E70" i="81"/>
  <c r="F70" i="81"/>
  <c r="G70" i="81"/>
  <c r="H70" i="81"/>
  <c r="H16" i="72"/>
  <c r="B71" i="81"/>
  <c r="C71" i="81"/>
  <c r="D71" i="81"/>
  <c r="E71" i="81"/>
  <c r="F71" i="81"/>
  <c r="G71" i="81"/>
  <c r="H71" i="81"/>
  <c r="H17" i="72"/>
  <c r="B72" i="81"/>
  <c r="C72" i="81"/>
  <c r="D72" i="81"/>
  <c r="E72" i="81"/>
  <c r="F72" i="81"/>
  <c r="G72" i="81"/>
  <c r="H72" i="81"/>
  <c r="H18"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7" i="81"/>
  <c r="C77" i="81"/>
  <c r="D77" i="81"/>
  <c r="E77" i="81"/>
  <c r="F77" i="81"/>
  <c r="G77" i="81"/>
  <c r="H77" i="81"/>
  <c r="H23"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B5" i="72"/>
  <c r="G13" i="72"/>
  <c r="G14" i="72"/>
  <c r="G15" i="72"/>
  <c r="G16" i="72"/>
  <c r="G17" i="72"/>
  <c r="G18" i="72"/>
  <c r="G19" i="72"/>
  <c r="G20" i="72"/>
  <c r="G21" i="72"/>
  <c r="G22" i="72"/>
  <c r="G23" i="72"/>
  <c r="G24" i="72"/>
  <c r="G25" i="72"/>
  <c r="G26" i="72"/>
  <c r="G27" i="72"/>
  <c r="G28" i="72"/>
  <c r="G29" i="72"/>
  <c r="G30" i="72"/>
  <c r="G31" i="72"/>
  <c r="C33" i="72"/>
  <c r="D33" i="72" s="1"/>
  <c r="D34" i="72" s="1"/>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C95" i="83"/>
  <c r="D95" i="83"/>
  <c r="E95" i="83"/>
  <c r="F95" i="83"/>
  <c r="G95" i="83"/>
  <c r="H95" i="83"/>
  <c r="H34" i="84"/>
  <c r="C96" i="83"/>
  <c r="D96" i="83"/>
  <c r="E96" i="83"/>
  <c r="F96" i="83"/>
  <c r="G96" i="83"/>
  <c r="H96" i="83"/>
  <c r="H35" i="84"/>
  <c r="C97" i="83"/>
  <c r="D97" i="83"/>
  <c r="E97" i="83"/>
  <c r="F97" i="83"/>
  <c r="G97" i="83"/>
  <c r="H97" i="83"/>
  <c r="H36" i="84"/>
  <c r="C98" i="83"/>
  <c r="D98" i="83"/>
  <c r="E98" i="83"/>
  <c r="F98" i="83"/>
  <c r="G98" i="83"/>
  <c r="H98" i="83"/>
  <c r="H37" i="84"/>
  <c r="H39" i="84"/>
  <c r="H12"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4" i="84"/>
  <c r="G35" i="84"/>
  <c r="G36" i="84"/>
  <c r="G37" i="84"/>
  <c r="G39" i="84"/>
  <c r="G12" i="84"/>
  <c r="G62" i="84"/>
  <c r="I163" i="84"/>
  <c r="I164" i="84"/>
  <c r="I165" i="84"/>
  <c r="I167" i="84"/>
  <c r="G124" i="84"/>
  <c r="G141" i="84"/>
  <c r="G125" i="84"/>
  <c r="G142" i="84"/>
  <c r="G126" i="84"/>
  <c r="G143" i="84"/>
  <c r="I168" i="84"/>
  <c r="I169" i="84"/>
  <c r="H62" i="84"/>
  <c r="J163" i="84"/>
  <c r="J164" i="84"/>
  <c r="J165" i="84"/>
  <c r="J167" i="84"/>
  <c r="H124" i="84"/>
  <c r="H141" i="84"/>
  <c r="H125" i="84"/>
  <c r="H142" i="84"/>
  <c r="H126" i="84"/>
  <c r="H143" i="84"/>
  <c r="J168" i="84"/>
  <c r="J169" i="84"/>
  <c r="C92" i="81"/>
  <c r="D92" i="81"/>
  <c r="E92" i="81"/>
  <c r="F92" i="81"/>
  <c r="G92" i="81"/>
  <c r="H92" i="81"/>
  <c r="I9" i="53"/>
  <c r="I62" i="53"/>
  <c r="J198" i="53"/>
  <c r="C93" i="81"/>
  <c r="D93" i="81"/>
  <c r="E93" i="81"/>
  <c r="F93" i="81"/>
  <c r="G93" i="81"/>
  <c r="H93" i="81"/>
  <c r="I10" i="53"/>
  <c r="I63" i="53"/>
  <c r="J199" i="53"/>
  <c r="C94" i="81"/>
  <c r="D94" i="81"/>
  <c r="E94" i="81"/>
  <c r="F94" i="81"/>
  <c r="G94" i="81"/>
  <c r="H94" i="81"/>
  <c r="I11" i="53"/>
  <c r="I64" i="53"/>
  <c r="J200" i="53"/>
  <c r="C95" i="81"/>
  <c r="D95" i="81"/>
  <c r="E95" i="81"/>
  <c r="F95" i="81"/>
  <c r="G95" i="81"/>
  <c r="H95" i="81"/>
  <c r="I12" i="53"/>
  <c r="I65" i="53"/>
  <c r="J201" i="53"/>
  <c r="C96" i="81"/>
  <c r="D96" i="81"/>
  <c r="E96" i="81"/>
  <c r="F96" i="81"/>
  <c r="G96" i="81"/>
  <c r="H96" i="81"/>
  <c r="I13" i="53"/>
  <c r="I66" i="53"/>
  <c r="J202" i="53"/>
  <c r="C97" i="81"/>
  <c r="D97" i="81"/>
  <c r="E97" i="81"/>
  <c r="F97" i="81"/>
  <c r="G97" i="81"/>
  <c r="H97" i="81"/>
  <c r="I14" i="53"/>
  <c r="I67" i="53"/>
  <c r="J203" i="53"/>
  <c r="C98" i="81"/>
  <c r="D98" i="81"/>
  <c r="E98" i="81"/>
  <c r="F98" i="81"/>
  <c r="G98" i="81"/>
  <c r="H98" i="81"/>
  <c r="I15" i="53"/>
  <c r="I68" i="53"/>
  <c r="J204" i="53"/>
  <c r="C99" i="81"/>
  <c r="D99" i="81"/>
  <c r="E99" i="81"/>
  <c r="F99" i="81"/>
  <c r="G99" i="81"/>
  <c r="H99" i="81"/>
  <c r="I16" i="53"/>
  <c r="I69" i="53"/>
  <c r="J205" i="53"/>
  <c r="C101" i="81"/>
  <c r="D101" i="81"/>
  <c r="E101" i="81"/>
  <c r="F101" i="81"/>
  <c r="G101" i="81"/>
  <c r="H101" i="81"/>
  <c r="I18" i="53"/>
  <c r="I71" i="53"/>
  <c r="J207" i="53"/>
  <c r="C102" i="81"/>
  <c r="D102" i="81"/>
  <c r="E102" i="81"/>
  <c r="F102" i="81"/>
  <c r="G102" i="81"/>
  <c r="H102" i="81"/>
  <c r="I19" i="53"/>
  <c r="I72" i="53"/>
  <c r="J208" i="53"/>
  <c r="C103" i="81"/>
  <c r="D103" i="81"/>
  <c r="E103" i="81"/>
  <c r="F103" i="81"/>
  <c r="G103" i="81"/>
  <c r="H103" i="81"/>
  <c r="I20" i="53"/>
  <c r="I73" i="53"/>
  <c r="J209" i="53"/>
  <c r="C104" i="81"/>
  <c r="D104" i="81"/>
  <c r="E104" i="81"/>
  <c r="F104" i="81"/>
  <c r="G104" i="81"/>
  <c r="H104" i="81"/>
  <c r="I21" i="53"/>
  <c r="I74" i="53"/>
  <c r="J210" i="53"/>
  <c r="C105" i="81"/>
  <c r="D105" i="81"/>
  <c r="E105" i="81"/>
  <c r="F105" i="81"/>
  <c r="G105" i="81"/>
  <c r="H105" i="81"/>
  <c r="I22" i="53"/>
  <c r="I75" i="53"/>
  <c r="J211" i="53"/>
  <c r="C106" i="81"/>
  <c r="D106" i="81"/>
  <c r="E106" i="81"/>
  <c r="F106" i="81"/>
  <c r="G106" i="81"/>
  <c r="H106" i="81"/>
  <c r="I23" i="53"/>
  <c r="I76" i="53"/>
  <c r="J212" i="53"/>
  <c r="C107" i="81"/>
  <c r="D107" i="81"/>
  <c r="E107" i="81"/>
  <c r="F107" i="81"/>
  <c r="G107" i="81"/>
  <c r="H107" i="81"/>
  <c r="I24" i="53"/>
  <c r="I77" i="53"/>
  <c r="J213" i="53"/>
  <c r="C108" i="81"/>
  <c r="D108" i="81"/>
  <c r="E108" i="81"/>
  <c r="F108" i="81"/>
  <c r="G108" i="81"/>
  <c r="H108" i="81"/>
  <c r="I25" i="53"/>
  <c r="I78" i="53"/>
  <c r="J214" i="53"/>
  <c r="C110" i="81"/>
  <c r="D110" i="81"/>
  <c r="E110" i="81"/>
  <c r="F110" i="81"/>
  <c r="G110" i="81"/>
  <c r="H110" i="81"/>
  <c r="I27" i="53"/>
  <c r="I80" i="53"/>
  <c r="J216" i="53"/>
  <c r="C111" i="81"/>
  <c r="D111" i="81"/>
  <c r="E111" i="81"/>
  <c r="F111" i="81"/>
  <c r="G111" i="81"/>
  <c r="H111" i="81"/>
  <c r="I28" i="53"/>
  <c r="I81" i="53"/>
  <c r="J217" i="53"/>
  <c r="C112" i="81"/>
  <c r="D112" i="81"/>
  <c r="E112" i="81"/>
  <c r="F112" i="81"/>
  <c r="G112" i="81"/>
  <c r="H112" i="81"/>
  <c r="I29" i="53"/>
  <c r="I82" i="53"/>
  <c r="J218" i="53"/>
  <c r="C102" i="83"/>
  <c r="D102" i="83"/>
  <c r="E102" i="83"/>
  <c r="F102" i="83"/>
  <c r="G102" i="83"/>
  <c r="H102" i="83"/>
  <c r="I33" i="53"/>
  <c r="I86" i="53"/>
  <c r="C103" i="83"/>
  <c r="D103" i="83"/>
  <c r="E103" i="83"/>
  <c r="F103" i="83"/>
  <c r="G103" i="83"/>
  <c r="H103" i="83"/>
  <c r="I34" i="53"/>
  <c r="I87" i="53"/>
  <c r="C104" i="83"/>
  <c r="D104" i="83"/>
  <c r="E104" i="83"/>
  <c r="F104" i="83"/>
  <c r="G104" i="83"/>
  <c r="H104" i="83"/>
  <c r="I35" i="53"/>
  <c r="I88" i="53"/>
  <c r="C105" i="83"/>
  <c r="D105" i="83"/>
  <c r="E105" i="83"/>
  <c r="F105" i="83"/>
  <c r="G105" i="83"/>
  <c r="H105" i="83"/>
  <c r="I36" i="53"/>
  <c r="I89" i="53"/>
  <c r="C106" i="83"/>
  <c r="D106" i="83"/>
  <c r="E106" i="83"/>
  <c r="F106" i="83"/>
  <c r="G106" i="83"/>
  <c r="H106" i="83"/>
  <c r="I37" i="53"/>
  <c r="I90" i="53"/>
  <c r="C107" i="83"/>
  <c r="D107" i="83"/>
  <c r="E107" i="83"/>
  <c r="F107" i="83"/>
  <c r="G107" i="83"/>
  <c r="H107" i="83"/>
  <c r="I38" i="53"/>
  <c r="I91" i="53"/>
  <c r="C108" i="83"/>
  <c r="D108" i="83"/>
  <c r="E108" i="83"/>
  <c r="F108" i="83"/>
  <c r="G108" i="83"/>
  <c r="H108" i="83"/>
  <c r="I39" i="53"/>
  <c r="I92" i="53"/>
  <c r="C109" i="83"/>
  <c r="D109" i="83"/>
  <c r="E109" i="83"/>
  <c r="F109" i="83"/>
  <c r="G109" i="83"/>
  <c r="H109" i="83"/>
  <c r="I40" i="53"/>
  <c r="I93" i="53"/>
  <c r="C110" i="83"/>
  <c r="D110" i="83"/>
  <c r="E110" i="83"/>
  <c r="F110" i="83"/>
  <c r="G110" i="83"/>
  <c r="H110" i="83"/>
  <c r="I41" i="53"/>
  <c r="I94" i="53"/>
  <c r="C111" i="83"/>
  <c r="D111" i="83"/>
  <c r="E111" i="83"/>
  <c r="F111" i="83"/>
  <c r="G111" i="83"/>
  <c r="H111" i="83"/>
  <c r="I42" i="53"/>
  <c r="I95" i="53"/>
  <c r="C112" i="83"/>
  <c r="D112" i="83"/>
  <c r="E112" i="83"/>
  <c r="F112" i="83"/>
  <c r="G112" i="83"/>
  <c r="H112" i="83"/>
  <c r="I43" i="53"/>
  <c r="I96" i="53"/>
  <c r="C113" i="83"/>
  <c r="D113" i="83"/>
  <c r="E113" i="83"/>
  <c r="F113" i="83"/>
  <c r="G113" i="83"/>
  <c r="H113" i="83"/>
  <c r="I44" i="53"/>
  <c r="I97" i="53"/>
  <c r="C114" i="83"/>
  <c r="D114" i="83"/>
  <c r="E114" i="83"/>
  <c r="F114" i="83"/>
  <c r="G114" i="83"/>
  <c r="H114" i="83"/>
  <c r="I45" i="53"/>
  <c r="I98" i="53"/>
  <c r="C115" i="83"/>
  <c r="D115" i="83"/>
  <c r="E115" i="83"/>
  <c r="F115" i="83"/>
  <c r="G115" i="83"/>
  <c r="H115" i="83"/>
  <c r="I46" i="53"/>
  <c r="I99" i="53"/>
  <c r="C116" i="83"/>
  <c r="D116" i="83"/>
  <c r="E116" i="83"/>
  <c r="F116" i="83"/>
  <c r="G116" i="83"/>
  <c r="H116" i="83"/>
  <c r="I47" i="53"/>
  <c r="I100" i="53"/>
  <c r="C117" i="83"/>
  <c r="D117" i="83"/>
  <c r="E117" i="83"/>
  <c r="F117" i="83"/>
  <c r="G117" i="83"/>
  <c r="H117" i="83"/>
  <c r="I48" i="53"/>
  <c r="I101" i="53"/>
  <c r="C118" i="83"/>
  <c r="D118" i="83"/>
  <c r="E118" i="83"/>
  <c r="F118" i="83"/>
  <c r="G118" i="83"/>
  <c r="H118" i="83"/>
  <c r="I49" i="53"/>
  <c r="I102" i="53"/>
  <c r="C119" i="83"/>
  <c r="D119" i="83"/>
  <c r="E119" i="83"/>
  <c r="F119" i="83"/>
  <c r="G119" i="83"/>
  <c r="H119" i="83"/>
  <c r="I50" i="53"/>
  <c r="I103"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C123" i="83"/>
  <c r="D123" i="83"/>
  <c r="E123" i="83"/>
  <c r="F123" i="83"/>
  <c r="G123" i="83"/>
  <c r="H123" i="83"/>
  <c r="I54" i="53"/>
  <c r="I107" i="53"/>
  <c r="C124" i="83"/>
  <c r="D124" i="83"/>
  <c r="E124" i="83"/>
  <c r="F124" i="83"/>
  <c r="G124" i="83"/>
  <c r="H124" i="83"/>
  <c r="I55" i="53"/>
  <c r="I108" i="53"/>
  <c r="C125" i="83"/>
  <c r="D125" i="83"/>
  <c r="E125" i="83"/>
  <c r="F125" i="83"/>
  <c r="G125" i="83"/>
  <c r="H125" i="83"/>
  <c r="I56" i="53"/>
  <c r="I109" i="53"/>
  <c r="C126" i="83"/>
  <c r="D126" i="83"/>
  <c r="E126" i="83"/>
  <c r="F126" i="83"/>
  <c r="G126" i="83"/>
  <c r="H126" i="83"/>
  <c r="I57" i="53"/>
  <c r="I110" i="53"/>
  <c r="I114" i="53"/>
  <c r="J246" i="53"/>
  <c r="I115" i="53"/>
  <c r="J247" i="53"/>
  <c r="I116" i="53"/>
  <c r="J248" i="53"/>
  <c r="I118" i="53"/>
  <c r="J251" i="53"/>
  <c r="I119" i="53"/>
  <c r="J252" i="53"/>
  <c r="J254" i="53"/>
  <c r="J255" i="53"/>
  <c r="H9" i="53"/>
  <c r="H62" i="53"/>
  <c r="I198" i="53"/>
  <c r="H10" i="53"/>
  <c r="H63" i="53"/>
  <c r="I199" i="53"/>
  <c r="H11" i="53"/>
  <c r="H64" i="53"/>
  <c r="I200" i="53"/>
  <c r="H12" i="53"/>
  <c r="H65" i="53"/>
  <c r="I201" i="53"/>
  <c r="H13" i="53"/>
  <c r="H66" i="53"/>
  <c r="I202" i="53"/>
  <c r="H14" i="53"/>
  <c r="H67" i="53"/>
  <c r="I203" i="53"/>
  <c r="H15" i="53"/>
  <c r="H68" i="53"/>
  <c r="I204" i="53"/>
  <c r="H16" i="53"/>
  <c r="H69" i="53"/>
  <c r="I205" i="53"/>
  <c r="H18" i="53"/>
  <c r="H71" i="53"/>
  <c r="I207" i="53"/>
  <c r="H19" i="53"/>
  <c r="H72" i="53"/>
  <c r="I208" i="53"/>
  <c r="H20" i="53"/>
  <c r="H73" i="53"/>
  <c r="I209" i="53"/>
  <c r="H21" i="53"/>
  <c r="H74" i="53"/>
  <c r="I210" i="53"/>
  <c r="H22" i="53"/>
  <c r="H75" i="53"/>
  <c r="I211" i="53"/>
  <c r="H23" i="53"/>
  <c r="H76" i="53"/>
  <c r="I212" i="53"/>
  <c r="H24" i="53"/>
  <c r="H77" i="53"/>
  <c r="I213" i="53"/>
  <c r="H25" i="53"/>
  <c r="H78" i="53"/>
  <c r="I214" i="53"/>
  <c r="H27" i="53"/>
  <c r="H80" i="53"/>
  <c r="I216" i="53"/>
  <c r="H28" i="53"/>
  <c r="H81" i="53"/>
  <c r="I217" i="53"/>
  <c r="H29" i="53"/>
  <c r="H82" i="53"/>
  <c r="I218"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114" i="53"/>
  <c r="I246" i="53"/>
  <c r="H115" i="53"/>
  <c r="I247" i="53"/>
  <c r="H116" i="53"/>
  <c r="I248" i="53"/>
  <c r="H118" i="53"/>
  <c r="I251" i="53"/>
  <c r="H119" i="53"/>
  <c r="I252" i="53"/>
  <c r="I254" i="53"/>
  <c r="I255" i="53"/>
  <c r="I222" i="53"/>
  <c r="I223" i="53"/>
  <c r="I224" i="53"/>
  <c r="I225" i="53"/>
  <c r="I226" i="53"/>
  <c r="I227" i="53"/>
  <c r="I228" i="53"/>
  <c r="I229" i="53"/>
  <c r="I230" i="53"/>
  <c r="I231" i="53"/>
  <c r="I232" i="53"/>
  <c r="I233" i="53"/>
  <c r="I234" i="53"/>
  <c r="I235" i="53"/>
  <c r="I236" i="53"/>
  <c r="I237" i="53"/>
  <c r="I238" i="53"/>
  <c r="I239" i="53"/>
  <c r="I240" i="53"/>
  <c r="I241" i="53"/>
  <c r="I242" i="53"/>
  <c r="I243" i="53"/>
  <c r="J15" i="61"/>
  <c r="K6" i="61"/>
  <c r="J260" i="53"/>
  <c r="J222" i="53"/>
  <c r="J223" i="53"/>
  <c r="J224" i="53"/>
  <c r="J225" i="53"/>
  <c r="J226" i="53"/>
  <c r="J227" i="53"/>
  <c r="J228" i="53"/>
  <c r="J229" i="53"/>
  <c r="J230" i="53"/>
  <c r="J231" i="53"/>
  <c r="J232" i="53"/>
  <c r="J233" i="53"/>
  <c r="J234" i="53"/>
  <c r="J235" i="53"/>
  <c r="J236" i="53"/>
  <c r="J237" i="53"/>
  <c r="J238" i="53"/>
  <c r="J239" i="53"/>
  <c r="J240" i="53"/>
  <c r="J241" i="53"/>
  <c r="J242" i="53"/>
  <c r="J243" i="53"/>
  <c r="K15" i="61"/>
  <c r="J261" i="53"/>
  <c r="J263" i="53"/>
  <c r="H22" i="21"/>
  <c r="J34" i="42"/>
  <c r="K52" i="61" s="1"/>
  <c r="J28" i="42"/>
  <c r="J29" i="42"/>
  <c r="J37" i="42"/>
  <c r="J43" i="42" s="1"/>
  <c r="J266" i="53"/>
  <c r="J267" i="53"/>
  <c r="J268" i="53"/>
  <c r="J269" i="53"/>
  <c r="J274" i="53"/>
  <c r="H32" i="21"/>
  <c r="J180" i="84"/>
  <c r="J181" i="84"/>
  <c r="J185" i="84"/>
  <c r="H33" i="21"/>
  <c r="H162" i="55"/>
  <c r="G162" i="55"/>
  <c r="H163" i="55"/>
  <c r="G163" i="55"/>
  <c r="H164" i="55"/>
  <c r="G164" i="55"/>
  <c r="J130" i="53"/>
  <c r="J131" i="53"/>
  <c r="J132" i="53"/>
  <c r="J133" i="53"/>
  <c r="J134" i="53"/>
  <c r="J135" i="53"/>
  <c r="J136" i="53"/>
  <c r="J137" i="53"/>
  <c r="J139" i="53"/>
  <c r="J140" i="53"/>
  <c r="J141" i="53"/>
  <c r="J142" i="53"/>
  <c r="J143" i="53"/>
  <c r="J144" i="53"/>
  <c r="J145" i="53"/>
  <c r="J146" i="53"/>
  <c r="J148" i="53"/>
  <c r="J149" i="53"/>
  <c r="J150" i="53"/>
  <c r="J182" i="53"/>
  <c r="J183" i="53"/>
  <c r="J184" i="53"/>
  <c r="J187"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91" i="53"/>
  <c r="H12" i="21"/>
  <c r="J154" i="84"/>
  <c r="J155" i="84"/>
  <c r="J156" i="84"/>
  <c r="J159" i="84"/>
  <c r="H13" i="21"/>
  <c r="B13" i="72"/>
  <c r="B14" i="72"/>
  <c r="B15" i="72"/>
  <c r="B16" i="72"/>
  <c r="B17" i="72"/>
  <c r="B18" i="72"/>
  <c r="B19" i="72"/>
  <c r="B20" i="72"/>
  <c r="B21" i="72"/>
  <c r="B22" i="72"/>
  <c r="B23" i="72"/>
  <c r="B24" i="72"/>
  <c r="B25" i="72"/>
  <c r="B49" i="72" s="1"/>
  <c r="B26" i="72"/>
  <c r="B27" i="72"/>
  <c r="B28" i="72"/>
  <c r="B29" i="72"/>
  <c r="B53" i="72" s="1"/>
  <c r="B30" i="72"/>
  <c r="B54" i="72" s="1"/>
  <c r="B31" i="72"/>
  <c r="B34" i="72"/>
  <c r="B47" i="72" s="1"/>
  <c r="B96" i="72" s="1"/>
  <c r="B42" i="72"/>
  <c r="B40" i="72"/>
  <c r="B70" i="72" s="1"/>
  <c r="K35" i="61"/>
  <c r="K40" i="61"/>
  <c r="K48" i="61"/>
  <c r="F11" i="55"/>
  <c r="F12" i="55"/>
  <c r="F13" i="55"/>
  <c r="F14" i="55"/>
  <c r="F15" i="55"/>
  <c r="F16" i="55"/>
  <c r="F17" i="55"/>
  <c r="F18" i="55"/>
  <c r="F19" i="55"/>
  <c r="F20" i="55"/>
  <c r="F21" i="55"/>
  <c r="F22" i="55"/>
  <c r="F23" i="55"/>
  <c r="F24" i="55"/>
  <c r="F25" i="55"/>
  <c r="F26" i="55"/>
  <c r="F27" i="55"/>
  <c r="F28" i="55"/>
  <c r="F29" i="55"/>
  <c r="F30" i="55"/>
  <c r="F31" i="55"/>
  <c r="F32" i="55"/>
  <c r="F63" i="55"/>
  <c r="F35" i="55"/>
  <c r="F92" i="55" s="1"/>
  <c r="F144" i="55" s="1"/>
  <c r="F36" i="55"/>
  <c r="F93" i="55" s="1"/>
  <c r="F145" i="55" s="1"/>
  <c r="F37" i="55"/>
  <c r="F94" i="55" s="1"/>
  <c r="F38" i="55"/>
  <c r="F95" i="55" s="1"/>
  <c r="F147" i="55" s="1"/>
  <c r="F39" i="55"/>
  <c r="F96" i="55" s="1"/>
  <c r="F148" i="55" s="1"/>
  <c r="F40" i="55"/>
  <c r="F97" i="55" s="1"/>
  <c r="F149" i="55" s="1"/>
  <c r="F41" i="55"/>
  <c r="F98" i="55" s="1"/>
  <c r="F42" i="55"/>
  <c r="F99" i="55" s="1"/>
  <c r="F151" i="55" s="1"/>
  <c r="F43" i="55"/>
  <c r="F100" i="55" s="1"/>
  <c r="F152" i="55" s="1"/>
  <c r="F44" i="55"/>
  <c r="F101" i="55" s="1"/>
  <c r="F153" i="55" s="1"/>
  <c r="F45" i="55"/>
  <c r="F102" i="55" s="1"/>
  <c r="F46" i="55"/>
  <c r="F103" i="55" s="1"/>
  <c r="F47" i="55"/>
  <c r="F104" i="55" s="1"/>
  <c r="F156" i="55" s="1"/>
  <c r="F48" i="55"/>
  <c r="F105" i="55" s="1"/>
  <c r="F157" i="55" s="1"/>
  <c r="F49" i="55"/>
  <c r="F106" i="55" s="1"/>
  <c r="F158" i="55" s="1"/>
  <c r="F50" i="55"/>
  <c r="F107" i="55" s="1"/>
  <c r="F159" i="55" s="1"/>
  <c r="F51" i="55"/>
  <c r="F108" i="55" s="1"/>
  <c r="F52" i="55"/>
  <c r="F109" i="55" s="1"/>
  <c r="F161" i="55" s="1"/>
  <c r="F56" i="55"/>
  <c r="F113" i="55" s="1"/>
  <c r="F165" i="55" s="1"/>
  <c r="F57" i="55"/>
  <c r="F114" i="55" s="1"/>
  <c r="F58" i="55"/>
  <c r="F115" i="55" s="1"/>
  <c r="F59" i="55"/>
  <c r="F116" i="55" s="1"/>
  <c r="F13" i="72"/>
  <c r="F14" i="72"/>
  <c r="F15" i="72"/>
  <c r="F16" i="72"/>
  <c r="F17" i="72"/>
  <c r="F18" i="72"/>
  <c r="F19" i="72"/>
  <c r="F20" i="72"/>
  <c r="F21" i="72"/>
  <c r="F22" i="72"/>
  <c r="F23" i="72"/>
  <c r="F24" i="72"/>
  <c r="F25" i="72"/>
  <c r="F26" i="72"/>
  <c r="F27" i="72"/>
  <c r="F28" i="72"/>
  <c r="F29" i="72"/>
  <c r="F30" i="72"/>
  <c r="F31" i="72"/>
  <c r="L14" i="83"/>
  <c r="F74" i="83"/>
  <c r="F13" i="84"/>
  <c r="F14" i="84"/>
  <c r="F15" i="84"/>
  <c r="F16" i="84"/>
  <c r="F17" i="84"/>
  <c r="F18" i="84"/>
  <c r="F19" i="84"/>
  <c r="F20" i="84"/>
  <c r="F21" i="84"/>
  <c r="F22" i="84"/>
  <c r="F23" i="84"/>
  <c r="F24" i="84"/>
  <c r="F25" i="84"/>
  <c r="F26" i="84"/>
  <c r="F27" i="84"/>
  <c r="F28" i="84"/>
  <c r="F29" i="84"/>
  <c r="F30" i="84"/>
  <c r="F31" i="84"/>
  <c r="F32" i="84"/>
  <c r="F33" i="84"/>
  <c r="F34" i="84"/>
  <c r="F35" i="84"/>
  <c r="F36" i="84"/>
  <c r="F37" i="84"/>
  <c r="F39" i="84"/>
  <c r="F12" i="84"/>
  <c r="F62" i="84"/>
  <c r="H163" i="84"/>
  <c r="H164" i="84"/>
  <c r="H165" i="84"/>
  <c r="H167" i="84"/>
  <c r="F124" i="84"/>
  <c r="F141" i="84"/>
  <c r="F125" i="84"/>
  <c r="F142" i="84"/>
  <c r="F126" i="84"/>
  <c r="F143" i="84"/>
  <c r="H168" i="84"/>
  <c r="H169" i="84"/>
  <c r="G9" i="53"/>
  <c r="G62" i="53"/>
  <c r="H198" i="53"/>
  <c r="G10" i="53"/>
  <c r="G63" i="53"/>
  <c r="H199" i="53"/>
  <c r="G11" i="53"/>
  <c r="G64" i="53"/>
  <c r="H200" i="53"/>
  <c r="G12" i="53"/>
  <c r="G65" i="53"/>
  <c r="H201" i="53"/>
  <c r="G13" i="53"/>
  <c r="G66" i="53"/>
  <c r="H202" i="53"/>
  <c r="G14" i="53"/>
  <c r="G67" i="53"/>
  <c r="H203" i="53"/>
  <c r="G15" i="53"/>
  <c r="G68" i="53"/>
  <c r="H204" i="53"/>
  <c r="G16" i="53"/>
  <c r="G69" i="53"/>
  <c r="H205" i="53"/>
  <c r="G18" i="53"/>
  <c r="G71" i="53"/>
  <c r="H207" i="53"/>
  <c r="G19" i="53"/>
  <c r="G72" i="53"/>
  <c r="H208" i="53"/>
  <c r="G20" i="53"/>
  <c r="G73" i="53"/>
  <c r="H209" i="53"/>
  <c r="G21" i="53"/>
  <c r="G74" i="53"/>
  <c r="H210" i="53"/>
  <c r="G22" i="53"/>
  <c r="G75" i="53"/>
  <c r="H211" i="53"/>
  <c r="G23" i="53"/>
  <c r="G76" i="53"/>
  <c r="H212" i="53"/>
  <c r="G24" i="53"/>
  <c r="G77" i="53"/>
  <c r="H213" i="53"/>
  <c r="G25" i="53"/>
  <c r="G78" i="53"/>
  <c r="H214" i="53"/>
  <c r="G27" i="53"/>
  <c r="G80" i="53"/>
  <c r="H216" i="53"/>
  <c r="G28" i="53"/>
  <c r="G81" i="53"/>
  <c r="H217" i="53"/>
  <c r="G29" i="53"/>
  <c r="G82" i="53"/>
  <c r="H218"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114" i="53"/>
  <c r="H246" i="53"/>
  <c r="G115" i="53"/>
  <c r="H247" i="53"/>
  <c r="G116" i="53"/>
  <c r="H248" i="53"/>
  <c r="G118" i="53"/>
  <c r="H251" i="53"/>
  <c r="G119" i="53"/>
  <c r="H252" i="53"/>
  <c r="H254" i="53"/>
  <c r="H255" i="53"/>
  <c r="H222" i="53"/>
  <c r="H223" i="53"/>
  <c r="H224" i="53"/>
  <c r="H225" i="53"/>
  <c r="H226" i="53"/>
  <c r="H227" i="53"/>
  <c r="H228" i="53"/>
  <c r="H229" i="53"/>
  <c r="H230" i="53"/>
  <c r="H231" i="53"/>
  <c r="H232" i="53"/>
  <c r="H233" i="53"/>
  <c r="H234" i="53"/>
  <c r="H235" i="53"/>
  <c r="H236" i="53"/>
  <c r="H237" i="53"/>
  <c r="H238" i="53"/>
  <c r="H239" i="53"/>
  <c r="H240" i="53"/>
  <c r="H241" i="53"/>
  <c r="H242" i="53"/>
  <c r="H243" i="53"/>
  <c r="I15" i="61"/>
  <c r="J6" i="61"/>
  <c r="I260" i="53"/>
  <c r="I261" i="53"/>
  <c r="I263" i="53"/>
  <c r="G22" i="21"/>
  <c r="I28" i="42"/>
  <c r="I29" i="42"/>
  <c r="I37" i="42"/>
  <c r="I43" i="42" s="1"/>
  <c r="I266" i="53"/>
  <c r="I267" i="53"/>
  <c r="I268" i="53"/>
  <c r="I269" i="53"/>
  <c r="I274" i="53"/>
  <c r="G32" i="21"/>
  <c r="I180" i="84"/>
  <c r="I181" i="84"/>
  <c r="I185" i="84"/>
  <c r="G33" i="21"/>
  <c r="F162" i="55"/>
  <c r="F163" i="55"/>
  <c r="F164" i="55"/>
  <c r="I130" i="53"/>
  <c r="I131" i="53"/>
  <c r="I132" i="53"/>
  <c r="I133" i="53"/>
  <c r="I134" i="53"/>
  <c r="I135" i="53"/>
  <c r="I136" i="53"/>
  <c r="I137" i="53"/>
  <c r="I139" i="53"/>
  <c r="I140" i="53"/>
  <c r="I141" i="53"/>
  <c r="I142" i="53"/>
  <c r="I143" i="53"/>
  <c r="I144" i="53"/>
  <c r="I145" i="53"/>
  <c r="I146" i="53"/>
  <c r="I148" i="53"/>
  <c r="I149" i="53"/>
  <c r="I150" i="53"/>
  <c r="I182" i="53"/>
  <c r="I183" i="53"/>
  <c r="I184" i="53"/>
  <c r="I187"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91" i="53"/>
  <c r="G12" i="21"/>
  <c r="I154" i="84"/>
  <c r="I155" i="84"/>
  <c r="I156" i="84"/>
  <c r="I159" i="84"/>
  <c r="G13" i="21"/>
  <c r="J35" i="61"/>
  <c r="J40" i="61"/>
  <c r="J48" i="61"/>
  <c r="E11" i="55"/>
  <c r="E12" i="55"/>
  <c r="E13" i="55"/>
  <c r="E14" i="55"/>
  <c r="E15" i="55"/>
  <c r="E16" i="55"/>
  <c r="E17" i="55"/>
  <c r="E18" i="55"/>
  <c r="E19" i="55"/>
  <c r="E20" i="55"/>
  <c r="E21" i="55"/>
  <c r="E22" i="55"/>
  <c r="E23" i="55"/>
  <c r="E24" i="55"/>
  <c r="E25" i="55"/>
  <c r="E26" i="55"/>
  <c r="E27" i="55"/>
  <c r="E28" i="55"/>
  <c r="E29" i="55"/>
  <c r="E30" i="55"/>
  <c r="E31" i="55"/>
  <c r="E32" i="55"/>
  <c r="E63" i="55"/>
  <c r="E78" i="55" s="1"/>
  <c r="E130" i="55" s="1"/>
  <c r="E35" i="55"/>
  <c r="E92" i="55" s="1"/>
  <c r="E36" i="55"/>
  <c r="E93" i="55" s="1"/>
  <c r="E145" i="55" s="1"/>
  <c r="E37" i="55"/>
  <c r="E94" i="55" s="1"/>
  <c r="E146" i="55" s="1"/>
  <c r="E38" i="55"/>
  <c r="E95" i="55" s="1"/>
  <c r="E39" i="55"/>
  <c r="E96" i="55" s="1"/>
  <c r="E40" i="55"/>
  <c r="E97" i="55" s="1"/>
  <c r="E149" i="55" s="1"/>
  <c r="E41" i="55"/>
  <c r="E98" i="55" s="1"/>
  <c r="E150" i="55" s="1"/>
  <c r="E42" i="55"/>
  <c r="E99" i="55" s="1"/>
  <c r="E151" i="55" s="1"/>
  <c r="E43" i="55"/>
  <c r="E100" i="55" s="1"/>
  <c r="E44" i="55"/>
  <c r="E101" i="55" s="1"/>
  <c r="E153" i="55" s="1"/>
  <c r="E45" i="55"/>
  <c r="E102" i="55" s="1"/>
  <c r="E154" i="55" s="1"/>
  <c r="E46" i="55"/>
  <c r="E103" i="55" s="1"/>
  <c r="E155" i="55" s="1"/>
  <c r="E47" i="55"/>
  <c r="E104" i="55" s="1"/>
  <c r="E48" i="55"/>
  <c r="E105" i="55" s="1"/>
  <c r="E157" i="55" s="1"/>
  <c r="E49" i="55"/>
  <c r="E106" i="55" s="1"/>
  <c r="E50" i="55"/>
  <c r="E107" i="55" s="1"/>
  <c r="E159" i="55" s="1"/>
  <c r="E51" i="55"/>
  <c r="E108" i="55" s="1"/>
  <c r="E52" i="55"/>
  <c r="E109" i="55" s="1"/>
  <c r="E161" i="55" s="1"/>
  <c r="E56" i="55"/>
  <c r="E113" i="55" s="1"/>
  <c r="E165" i="55" s="1"/>
  <c r="E57" i="55"/>
  <c r="E114" i="55" s="1"/>
  <c r="E58" i="55"/>
  <c r="E115" i="55" s="1"/>
  <c r="E59" i="55"/>
  <c r="E116" i="55" s="1"/>
  <c r="E168" i="55" s="1"/>
  <c r="E13" i="72"/>
  <c r="E14" i="72"/>
  <c r="E15" i="72"/>
  <c r="E16" i="72"/>
  <c r="E17" i="72"/>
  <c r="E18" i="72"/>
  <c r="E19" i="72"/>
  <c r="E20" i="72"/>
  <c r="E21" i="72"/>
  <c r="E22" i="72"/>
  <c r="E23" i="72"/>
  <c r="E24" i="72"/>
  <c r="E25" i="72"/>
  <c r="E26" i="72"/>
  <c r="E27" i="72"/>
  <c r="E28" i="72"/>
  <c r="E29" i="72"/>
  <c r="E30" i="72"/>
  <c r="E31" i="72"/>
  <c r="K14" i="83"/>
  <c r="E74" i="83"/>
  <c r="E13" i="84"/>
  <c r="E14" i="84"/>
  <c r="E15" i="84"/>
  <c r="E16" i="84"/>
  <c r="E17" i="84"/>
  <c r="E18" i="84"/>
  <c r="E19" i="84"/>
  <c r="E20" i="84"/>
  <c r="E21" i="84"/>
  <c r="E22" i="84"/>
  <c r="E23" i="84"/>
  <c r="E24" i="84"/>
  <c r="E25" i="84"/>
  <c r="E26" i="84"/>
  <c r="E27" i="84"/>
  <c r="E28" i="84"/>
  <c r="E29" i="84"/>
  <c r="E30" i="84"/>
  <c r="E31" i="84"/>
  <c r="E32" i="84"/>
  <c r="E33" i="84"/>
  <c r="E34" i="84"/>
  <c r="E35" i="84"/>
  <c r="E36" i="84"/>
  <c r="E37" i="84"/>
  <c r="E39" i="84"/>
  <c r="E12" i="84"/>
  <c r="E62" i="84"/>
  <c r="G163" i="84"/>
  <c r="G164" i="84"/>
  <c r="G165" i="84"/>
  <c r="G167" i="84"/>
  <c r="E124" i="84"/>
  <c r="E141" i="84"/>
  <c r="E125" i="84"/>
  <c r="E142" i="84"/>
  <c r="E126" i="84"/>
  <c r="E143" i="84"/>
  <c r="G168" i="84"/>
  <c r="G169" i="84"/>
  <c r="F9" i="53"/>
  <c r="F62" i="53"/>
  <c r="G198" i="53"/>
  <c r="F10" i="53"/>
  <c r="F63" i="53"/>
  <c r="G199" i="53"/>
  <c r="F11" i="53"/>
  <c r="F64" i="53"/>
  <c r="G200" i="53"/>
  <c r="F12" i="53"/>
  <c r="F65" i="53"/>
  <c r="G201" i="53"/>
  <c r="F13" i="53"/>
  <c r="F66" i="53"/>
  <c r="G202" i="53"/>
  <c r="F14" i="53"/>
  <c r="F67" i="53"/>
  <c r="G203" i="53"/>
  <c r="F15" i="53"/>
  <c r="F68" i="53"/>
  <c r="G204" i="53"/>
  <c r="F16" i="53"/>
  <c r="F69" i="53"/>
  <c r="G205" i="53"/>
  <c r="F18" i="53"/>
  <c r="F71" i="53"/>
  <c r="G207" i="53"/>
  <c r="F19" i="53"/>
  <c r="F72" i="53"/>
  <c r="G208" i="53"/>
  <c r="F20" i="53"/>
  <c r="F73" i="53"/>
  <c r="G209" i="53"/>
  <c r="F21" i="53"/>
  <c r="F74" i="53"/>
  <c r="G210" i="53"/>
  <c r="F22" i="53"/>
  <c r="F75" i="53"/>
  <c r="G211" i="53"/>
  <c r="F23" i="53"/>
  <c r="F76" i="53"/>
  <c r="G212" i="53"/>
  <c r="F24" i="53"/>
  <c r="F77" i="53"/>
  <c r="G213" i="53"/>
  <c r="F25" i="53"/>
  <c r="F78" i="53"/>
  <c r="G214" i="53"/>
  <c r="F27" i="53"/>
  <c r="F80" i="53"/>
  <c r="G216" i="53"/>
  <c r="F28" i="53"/>
  <c r="F81" i="53"/>
  <c r="G217" i="53"/>
  <c r="F29" i="53"/>
  <c r="F82" i="53"/>
  <c r="G218"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114" i="53"/>
  <c r="G246" i="53"/>
  <c r="F115" i="53"/>
  <c r="G247" i="53"/>
  <c r="F116" i="53"/>
  <c r="G248" i="53"/>
  <c r="F118" i="53"/>
  <c r="G251" i="53"/>
  <c r="F119" i="53"/>
  <c r="G252" i="53"/>
  <c r="G254" i="53"/>
  <c r="G255" i="53"/>
  <c r="G222" i="53"/>
  <c r="G223" i="53"/>
  <c r="G224" i="53"/>
  <c r="G225" i="53"/>
  <c r="G226" i="53"/>
  <c r="G227" i="53"/>
  <c r="G228" i="53"/>
  <c r="G229" i="53"/>
  <c r="G230" i="53"/>
  <c r="G231" i="53"/>
  <c r="G232" i="53"/>
  <c r="G233" i="53"/>
  <c r="G234" i="53"/>
  <c r="G235" i="53"/>
  <c r="G236" i="53"/>
  <c r="G237" i="53"/>
  <c r="G238" i="53"/>
  <c r="G239" i="53"/>
  <c r="G240" i="53"/>
  <c r="G241" i="53"/>
  <c r="G242" i="53"/>
  <c r="G243" i="53"/>
  <c r="H15" i="61"/>
  <c r="I6" i="61"/>
  <c r="H260" i="53"/>
  <c r="H261" i="53"/>
  <c r="H263" i="53"/>
  <c r="F22" i="21"/>
  <c r="H28" i="42"/>
  <c r="H29" i="42"/>
  <c r="H37" i="42"/>
  <c r="H43" i="42" s="1"/>
  <c r="H266" i="53"/>
  <c r="H267" i="53"/>
  <c r="H268" i="53"/>
  <c r="H269" i="53"/>
  <c r="H274" i="53"/>
  <c r="F32" i="21"/>
  <c r="H180" i="84"/>
  <c r="H181" i="84"/>
  <c r="H185" i="84"/>
  <c r="F33" i="21"/>
  <c r="E162" i="55"/>
  <c r="E163" i="55"/>
  <c r="E164" i="55"/>
  <c r="H130" i="53"/>
  <c r="H131" i="53"/>
  <c r="H132" i="53"/>
  <c r="H133" i="53"/>
  <c r="H134" i="53"/>
  <c r="H135" i="53"/>
  <c r="H136" i="53"/>
  <c r="H137" i="53"/>
  <c r="H139" i="53"/>
  <c r="H140" i="53"/>
  <c r="H141" i="53"/>
  <c r="H142" i="53"/>
  <c r="H143" i="53"/>
  <c r="H144" i="53"/>
  <c r="H145" i="53"/>
  <c r="H146" i="53"/>
  <c r="H148" i="53"/>
  <c r="H149" i="53"/>
  <c r="H150" i="53"/>
  <c r="H182" i="53"/>
  <c r="H183" i="53"/>
  <c r="H184" i="53"/>
  <c r="H187"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91" i="53"/>
  <c r="F12" i="21"/>
  <c r="H154" i="84"/>
  <c r="H155" i="84"/>
  <c r="H156" i="84"/>
  <c r="H159" i="84"/>
  <c r="F13" i="21"/>
  <c r="I35" i="61"/>
  <c r="I40" i="61"/>
  <c r="I48" i="61"/>
  <c r="D11" i="55"/>
  <c r="D12" i="55"/>
  <c r="D13" i="55"/>
  <c r="D14" i="55"/>
  <c r="D15" i="55"/>
  <c r="D16" i="55"/>
  <c r="D17" i="55"/>
  <c r="D18" i="55"/>
  <c r="D19" i="55"/>
  <c r="D20" i="55"/>
  <c r="D21" i="55"/>
  <c r="D22" i="55"/>
  <c r="D23" i="55"/>
  <c r="D24" i="55"/>
  <c r="D25" i="55"/>
  <c r="D26" i="55"/>
  <c r="D27" i="55"/>
  <c r="D28" i="55"/>
  <c r="D29" i="55"/>
  <c r="D30" i="55"/>
  <c r="D31" i="55"/>
  <c r="D32" i="55"/>
  <c r="D63" i="55"/>
  <c r="D82" i="55" s="1"/>
  <c r="D134" i="55" s="1"/>
  <c r="D35" i="55"/>
  <c r="D92" i="55" s="1"/>
  <c r="D36" i="55"/>
  <c r="D93" i="55" s="1"/>
  <c r="D145" i="55" s="1"/>
  <c r="D37" i="55"/>
  <c r="D94" i="55" s="1"/>
  <c r="D38" i="55"/>
  <c r="D95" i="55" s="1"/>
  <c r="D147" i="55" s="1"/>
  <c r="D39" i="55"/>
  <c r="D96" i="55" s="1"/>
  <c r="D40" i="55"/>
  <c r="D97" i="55" s="1"/>
  <c r="D149" i="55" s="1"/>
  <c r="D41" i="55"/>
  <c r="D98" i="55" s="1"/>
  <c r="D42" i="55"/>
  <c r="D99" i="55" s="1"/>
  <c r="D151" i="55" s="1"/>
  <c r="D43" i="55"/>
  <c r="D100" i="55" s="1"/>
  <c r="D44" i="55"/>
  <c r="D101" i="55" s="1"/>
  <c r="D153" i="55" s="1"/>
  <c r="D45" i="55"/>
  <c r="D102" i="55" s="1"/>
  <c r="D46" i="55"/>
  <c r="D103" i="55" s="1"/>
  <c r="D155" i="55" s="1"/>
  <c r="D47" i="55"/>
  <c r="D104" i="55" s="1"/>
  <c r="D48" i="55"/>
  <c r="D105" i="55" s="1"/>
  <c r="D157" i="55" s="1"/>
  <c r="D49" i="55"/>
  <c r="D106" i="55" s="1"/>
  <c r="D50" i="55"/>
  <c r="D107" i="55" s="1"/>
  <c r="D159" i="55" s="1"/>
  <c r="D51" i="55"/>
  <c r="D108" i="55" s="1"/>
  <c r="D52" i="55"/>
  <c r="D109" i="55" s="1"/>
  <c r="D161" i="55" s="1"/>
  <c r="D56" i="55"/>
  <c r="D113" i="55" s="1"/>
  <c r="D57" i="55"/>
  <c r="D114" i="55" s="1"/>
  <c r="D166" i="55" s="1"/>
  <c r="D58" i="55"/>
  <c r="D115" i="55" s="1"/>
  <c r="D59" i="55"/>
  <c r="D116" i="55" s="1"/>
  <c r="D168" i="55" s="1"/>
  <c r="D13" i="72"/>
  <c r="D37" i="72" s="1"/>
  <c r="D14" i="72"/>
  <c r="D15" i="72"/>
  <c r="D16" i="72"/>
  <c r="D17" i="72"/>
  <c r="D18" i="72"/>
  <c r="D19" i="72"/>
  <c r="D20" i="72"/>
  <c r="D21" i="72"/>
  <c r="D22" i="72"/>
  <c r="D23" i="72"/>
  <c r="D47" i="72" s="1"/>
  <c r="D24" i="72"/>
  <c r="D25" i="72"/>
  <c r="D26" i="72"/>
  <c r="D27" i="72"/>
  <c r="D28" i="72"/>
  <c r="D29" i="72"/>
  <c r="D30" i="72"/>
  <c r="D31" i="72"/>
  <c r="J14" i="83"/>
  <c r="D74" i="83"/>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9" i="84"/>
  <c r="D12" i="84"/>
  <c r="D62" i="84"/>
  <c r="F163" i="84"/>
  <c r="F164" i="84"/>
  <c r="F165" i="84"/>
  <c r="F167" i="84"/>
  <c r="D124" i="84"/>
  <c r="D141" i="84"/>
  <c r="D125" i="84"/>
  <c r="D142" i="84"/>
  <c r="D126" i="84"/>
  <c r="D143" i="84"/>
  <c r="F168" i="84"/>
  <c r="F169" i="84"/>
  <c r="E9" i="53"/>
  <c r="E62" i="53"/>
  <c r="F198" i="53"/>
  <c r="E10" i="53"/>
  <c r="E63" i="53"/>
  <c r="F199" i="53"/>
  <c r="E11" i="53"/>
  <c r="E64" i="53"/>
  <c r="F200" i="53"/>
  <c r="E12" i="53"/>
  <c r="E65" i="53"/>
  <c r="F201" i="53"/>
  <c r="E13" i="53"/>
  <c r="E66" i="53"/>
  <c r="F202" i="53"/>
  <c r="E14" i="53"/>
  <c r="E67" i="53"/>
  <c r="F203" i="53"/>
  <c r="E15" i="53"/>
  <c r="E68" i="53"/>
  <c r="F204" i="53"/>
  <c r="E16" i="53"/>
  <c r="E69" i="53"/>
  <c r="F205" i="53"/>
  <c r="E18" i="53"/>
  <c r="E71" i="53"/>
  <c r="F207" i="53"/>
  <c r="E19" i="53"/>
  <c r="E72" i="53"/>
  <c r="F208" i="53"/>
  <c r="E20" i="53"/>
  <c r="E73" i="53"/>
  <c r="F209" i="53"/>
  <c r="E21" i="53"/>
  <c r="E74" i="53"/>
  <c r="F210" i="53"/>
  <c r="E22" i="53"/>
  <c r="E75" i="53"/>
  <c r="F211" i="53"/>
  <c r="E23" i="53"/>
  <c r="E76" i="53"/>
  <c r="F212" i="53"/>
  <c r="E24" i="53"/>
  <c r="E77" i="53"/>
  <c r="F213" i="53"/>
  <c r="E25" i="53"/>
  <c r="E78" i="53"/>
  <c r="F214" i="53"/>
  <c r="E27" i="53"/>
  <c r="E80" i="53"/>
  <c r="F216" i="53"/>
  <c r="E28" i="53"/>
  <c r="E81" i="53"/>
  <c r="F217" i="53"/>
  <c r="E29" i="53"/>
  <c r="E82" i="53"/>
  <c r="F218"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114" i="53"/>
  <c r="F246" i="53"/>
  <c r="E115" i="53"/>
  <c r="F247" i="53"/>
  <c r="E116" i="53"/>
  <c r="F248" i="53"/>
  <c r="E118" i="53"/>
  <c r="F251" i="53"/>
  <c r="E119" i="53"/>
  <c r="F252" i="53"/>
  <c r="F254" i="53"/>
  <c r="F255" i="53"/>
  <c r="F222" i="53"/>
  <c r="F223" i="53"/>
  <c r="F224" i="53"/>
  <c r="F225" i="53"/>
  <c r="F226" i="53"/>
  <c r="F227" i="53"/>
  <c r="F228" i="53"/>
  <c r="F229" i="53"/>
  <c r="F230" i="53"/>
  <c r="F231" i="53"/>
  <c r="F232" i="53"/>
  <c r="F233" i="53"/>
  <c r="F234" i="53"/>
  <c r="F235" i="53"/>
  <c r="F236" i="53"/>
  <c r="F237" i="53"/>
  <c r="F238" i="53"/>
  <c r="F239" i="53"/>
  <c r="F240" i="53"/>
  <c r="F241" i="53"/>
  <c r="F242" i="53"/>
  <c r="F243" i="53"/>
  <c r="G15" i="61"/>
  <c r="H6" i="61"/>
  <c r="G260" i="53"/>
  <c r="G261" i="53"/>
  <c r="G263" i="53"/>
  <c r="E22" i="21"/>
  <c r="G28" i="42"/>
  <c r="G29" i="42"/>
  <c r="G37" i="42"/>
  <c r="G43" i="42" s="1"/>
  <c r="G266" i="53"/>
  <c r="G267" i="53"/>
  <c r="G268" i="53"/>
  <c r="G269" i="53"/>
  <c r="G274" i="53"/>
  <c r="E32" i="21"/>
  <c r="G180" i="84"/>
  <c r="G181" i="84"/>
  <c r="G185" i="84"/>
  <c r="E33" i="21"/>
  <c r="D162" i="55"/>
  <c r="D163" i="55"/>
  <c r="D164" i="55"/>
  <c r="G130" i="53"/>
  <c r="G131" i="53"/>
  <c r="G132" i="53"/>
  <c r="G133" i="53"/>
  <c r="G134" i="53"/>
  <c r="G135" i="53"/>
  <c r="G136" i="53"/>
  <c r="G137" i="53"/>
  <c r="G139" i="53"/>
  <c r="G140" i="53"/>
  <c r="G141" i="53"/>
  <c r="G142" i="53"/>
  <c r="G143" i="53"/>
  <c r="G144" i="53"/>
  <c r="G145" i="53"/>
  <c r="G146" i="53"/>
  <c r="G148" i="53"/>
  <c r="G149" i="53"/>
  <c r="G150" i="53"/>
  <c r="G182" i="53"/>
  <c r="G183" i="53"/>
  <c r="G184" i="53"/>
  <c r="G187"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91" i="53"/>
  <c r="E12" i="21"/>
  <c r="G154" i="84"/>
  <c r="G155" i="84"/>
  <c r="G156" i="84"/>
  <c r="G159" i="84"/>
  <c r="E13" i="21"/>
  <c r="H35" i="61"/>
  <c r="H40" i="61"/>
  <c r="H48" i="61"/>
  <c r="C11" i="55"/>
  <c r="C12" i="55"/>
  <c r="C13" i="55"/>
  <c r="C14" i="55"/>
  <c r="C15" i="55"/>
  <c r="C16" i="55"/>
  <c r="C17" i="55"/>
  <c r="C18" i="55"/>
  <c r="C19" i="55"/>
  <c r="C20" i="55"/>
  <c r="C21" i="55"/>
  <c r="C22" i="55"/>
  <c r="C23" i="55"/>
  <c r="C24" i="55"/>
  <c r="C25" i="55"/>
  <c r="C26" i="55"/>
  <c r="C27" i="55"/>
  <c r="C28" i="55"/>
  <c r="C29" i="55"/>
  <c r="C30" i="55"/>
  <c r="C31" i="55"/>
  <c r="C32" i="55"/>
  <c r="C63" i="55"/>
  <c r="C35" i="55"/>
  <c r="C92" i="55" s="1"/>
  <c r="C36" i="55"/>
  <c r="C93" i="55" s="1"/>
  <c r="C145" i="55" s="1"/>
  <c r="C37" i="55"/>
  <c r="C94" i="55" s="1"/>
  <c r="C146" i="55" s="1"/>
  <c r="C38" i="55"/>
  <c r="C95" i="55" s="1"/>
  <c r="C39" i="55"/>
  <c r="C96" i="55" s="1"/>
  <c r="C40" i="55"/>
  <c r="C97" i="55" s="1"/>
  <c r="C149" i="55" s="1"/>
  <c r="C41" i="55"/>
  <c r="C98" i="55" s="1"/>
  <c r="C150" i="55" s="1"/>
  <c r="C42" i="55"/>
  <c r="C99" i="55" s="1"/>
  <c r="C43" i="55"/>
  <c r="C100" i="55" s="1"/>
  <c r="C44" i="55"/>
  <c r="C101" i="55" s="1"/>
  <c r="C153" i="55" s="1"/>
  <c r="C45" i="55"/>
  <c r="C102" i="55" s="1"/>
  <c r="C154" i="55" s="1"/>
  <c r="C46" i="55"/>
  <c r="C103" i="55" s="1"/>
  <c r="C47" i="55"/>
  <c r="C104" i="55" s="1"/>
  <c r="C48" i="55"/>
  <c r="C105" i="55" s="1"/>
  <c r="C157" i="55" s="1"/>
  <c r="C49" i="55"/>
  <c r="C106" i="55" s="1"/>
  <c r="C158" i="55" s="1"/>
  <c r="C50" i="55"/>
  <c r="C107" i="55" s="1"/>
  <c r="C51" i="55"/>
  <c r="C108" i="55" s="1"/>
  <c r="C52" i="55"/>
  <c r="C109" i="55" s="1"/>
  <c r="C161" i="55" s="1"/>
  <c r="C56" i="55"/>
  <c r="C113" i="55" s="1"/>
  <c r="C57" i="55"/>
  <c r="C114" i="55" s="1"/>
  <c r="C58" i="55"/>
  <c r="C115" i="55" s="1"/>
  <c r="C59" i="55"/>
  <c r="C116" i="55" s="1"/>
  <c r="C168" i="55" s="1"/>
  <c r="C13" i="72"/>
  <c r="C37" i="72" s="1"/>
  <c r="C14" i="72"/>
  <c r="C15" i="72"/>
  <c r="C16" i="72"/>
  <c r="C17" i="72"/>
  <c r="C18" i="72"/>
  <c r="C19" i="72"/>
  <c r="C20" i="72"/>
  <c r="C21" i="72"/>
  <c r="C45" i="72" s="1"/>
  <c r="C22" i="72"/>
  <c r="C23" i="72"/>
  <c r="C24" i="72"/>
  <c r="C25" i="72"/>
  <c r="C49" i="72" s="1"/>
  <c r="C26" i="72"/>
  <c r="C27" i="72"/>
  <c r="C28" i="72"/>
  <c r="C29" i="72"/>
  <c r="C53" i="72" s="1"/>
  <c r="C30" i="72"/>
  <c r="C31" i="72"/>
  <c r="C34" i="72"/>
  <c r="C40" i="72" s="1"/>
  <c r="C14" i="84"/>
  <c r="C15" i="84"/>
  <c r="C16" i="84"/>
  <c r="C17" i="84"/>
  <c r="C18" i="84"/>
  <c r="C19" i="84"/>
  <c r="C20" i="84"/>
  <c r="C21" i="84"/>
  <c r="C22" i="84"/>
  <c r="C23" i="84"/>
  <c r="C24" i="84"/>
  <c r="C25" i="84"/>
  <c r="C26" i="84"/>
  <c r="C27" i="84"/>
  <c r="C28" i="84"/>
  <c r="C29" i="84"/>
  <c r="C30" i="84"/>
  <c r="C31" i="84"/>
  <c r="C32" i="84"/>
  <c r="C33" i="84"/>
  <c r="C34" i="84"/>
  <c r="C35" i="84"/>
  <c r="C36" i="84"/>
  <c r="C37" i="84"/>
  <c r="C39" i="84"/>
  <c r="C12" i="84"/>
  <c r="C62" i="84"/>
  <c r="E163" i="84"/>
  <c r="E164" i="84"/>
  <c r="E165" i="84"/>
  <c r="E167" i="84"/>
  <c r="C124" i="84"/>
  <c r="C141" i="84"/>
  <c r="C125" i="84"/>
  <c r="C142" i="84"/>
  <c r="C126" i="84"/>
  <c r="C143" i="84"/>
  <c r="E168" i="84"/>
  <c r="E169" i="84"/>
  <c r="D9" i="53"/>
  <c r="D62" i="53"/>
  <c r="E198" i="53"/>
  <c r="D10" i="53"/>
  <c r="D63" i="53"/>
  <c r="E199" i="53"/>
  <c r="D11" i="53"/>
  <c r="D64" i="53"/>
  <c r="E200" i="53"/>
  <c r="D12" i="53"/>
  <c r="D65" i="53"/>
  <c r="E201" i="53"/>
  <c r="D13" i="53"/>
  <c r="D66" i="53"/>
  <c r="E202" i="53"/>
  <c r="D14" i="53"/>
  <c r="D67" i="53"/>
  <c r="E203" i="53"/>
  <c r="D15" i="53"/>
  <c r="D68" i="53"/>
  <c r="E204" i="53"/>
  <c r="D16" i="53"/>
  <c r="D69" i="53"/>
  <c r="E205" i="53"/>
  <c r="D18" i="53"/>
  <c r="D71" i="53"/>
  <c r="E207" i="53"/>
  <c r="D19" i="53"/>
  <c r="D72" i="53"/>
  <c r="E208" i="53"/>
  <c r="D20" i="53"/>
  <c r="D73" i="53"/>
  <c r="E209" i="53"/>
  <c r="D21" i="53"/>
  <c r="D74" i="53"/>
  <c r="E210" i="53"/>
  <c r="D22" i="53"/>
  <c r="D75" i="53"/>
  <c r="E211" i="53"/>
  <c r="D23" i="53"/>
  <c r="D76" i="53"/>
  <c r="E212" i="53"/>
  <c r="D24" i="53"/>
  <c r="D77" i="53"/>
  <c r="E213" i="53"/>
  <c r="D25" i="53"/>
  <c r="D78" i="53"/>
  <c r="E214" i="53"/>
  <c r="D27" i="53"/>
  <c r="D80" i="53"/>
  <c r="E216" i="53"/>
  <c r="D28" i="53"/>
  <c r="D81" i="53"/>
  <c r="E217" i="53"/>
  <c r="D29" i="53"/>
  <c r="D82" i="53"/>
  <c r="E218"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114" i="53"/>
  <c r="E246" i="53"/>
  <c r="D115" i="53"/>
  <c r="E247" i="53"/>
  <c r="D116" i="53"/>
  <c r="E248" i="53"/>
  <c r="D118" i="53"/>
  <c r="E251" i="53"/>
  <c r="D119" i="53"/>
  <c r="E252" i="53"/>
  <c r="E254" i="53"/>
  <c r="E255" i="53"/>
  <c r="E222" i="53"/>
  <c r="E223" i="53"/>
  <c r="E224" i="53"/>
  <c r="E225" i="53"/>
  <c r="E226" i="53"/>
  <c r="E227" i="53"/>
  <c r="E228" i="53"/>
  <c r="E229" i="53"/>
  <c r="E230" i="53"/>
  <c r="E231" i="53"/>
  <c r="E232" i="53"/>
  <c r="E233" i="53"/>
  <c r="E234" i="53"/>
  <c r="E235" i="53"/>
  <c r="E236" i="53"/>
  <c r="E237" i="53"/>
  <c r="E238" i="53"/>
  <c r="E239" i="53"/>
  <c r="E240" i="53"/>
  <c r="E241" i="53"/>
  <c r="E242" i="53"/>
  <c r="E243" i="53"/>
  <c r="F15" i="61"/>
  <c r="G6" i="61"/>
  <c r="F260" i="53"/>
  <c r="F261" i="53"/>
  <c r="F263" i="53"/>
  <c r="D22" i="21"/>
  <c r="F28" i="42"/>
  <c r="F29" i="42"/>
  <c r="F37" i="42"/>
  <c r="F43" i="42" s="1"/>
  <c r="F266" i="53"/>
  <c r="F267" i="53"/>
  <c r="F268" i="53"/>
  <c r="F269" i="53"/>
  <c r="F274" i="53"/>
  <c r="D32" i="21"/>
  <c r="F180" i="84"/>
  <c r="F181" i="84"/>
  <c r="F185" i="84"/>
  <c r="D33" i="21"/>
  <c r="C162" i="55"/>
  <c r="C163" i="55"/>
  <c r="C164" i="55"/>
  <c r="F130" i="53"/>
  <c r="F131" i="53"/>
  <c r="F132" i="53"/>
  <c r="F133" i="53"/>
  <c r="F134" i="53"/>
  <c r="F135" i="53"/>
  <c r="F136" i="53"/>
  <c r="F137" i="53"/>
  <c r="F139" i="53"/>
  <c r="F140" i="53"/>
  <c r="F141" i="53"/>
  <c r="F142" i="53"/>
  <c r="F143" i="53"/>
  <c r="F144" i="53"/>
  <c r="F145" i="53"/>
  <c r="F146" i="53"/>
  <c r="F148" i="53"/>
  <c r="F149" i="53"/>
  <c r="F150" i="53"/>
  <c r="F182" i="53"/>
  <c r="F183" i="53"/>
  <c r="F184" i="53"/>
  <c r="F187"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91" i="53"/>
  <c r="D12" i="21"/>
  <c r="F154" i="84"/>
  <c r="F155" i="84"/>
  <c r="F156" i="84"/>
  <c r="F159" i="84"/>
  <c r="D13" i="21"/>
  <c r="G35" i="61"/>
  <c r="G40" i="61"/>
  <c r="G48" i="61"/>
  <c r="F6" i="61"/>
  <c r="E260" i="53"/>
  <c r="E261" i="53"/>
  <c r="E263" i="53"/>
  <c r="C22" i="21"/>
  <c r="E28" i="42"/>
  <c r="E29" i="42"/>
  <c r="E37" i="42"/>
  <c r="E43" i="42" s="1"/>
  <c r="E266" i="53"/>
  <c r="E267" i="53"/>
  <c r="E268" i="53"/>
  <c r="E269" i="53"/>
  <c r="E274" i="53"/>
  <c r="C32" i="21"/>
  <c r="E180" i="84"/>
  <c r="E181" i="84"/>
  <c r="E185" i="84"/>
  <c r="C33" i="21"/>
  <c r="E130" i="53"/>
  <c r="E131" i="53"/>
  <c r="E132" i="53"/>
  <c r="E133" i="53"/>
  <c r="E134" i="53"/>
  <c r="E135" i="53"/>
  <c r="E136" i="53"/>
  <c r="E137" i="53"/>
  <c r="E139" i="53"/>
  <c r="E140" i="53"/>
  <c r="E141" i="53"/>
  <c r="E142" i="53"/>
  <c r="E143" i="53"/>
  <c r="E144" i="53"/>
  <c r="E145" i="53"/>
  <c r="E146" i="53"/>
  <c r="E148" i="53"/>
  <c r="E149" i="53"/>
  <c r="E150" i="53"/>
  <c r="E182" i="53"/>
  <c r="E183" i="53"/>
  <c r="E184" i="53"/>
  <c r="E187"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91" i="53"/>
  <c r="C12" i="21"/>
  <c r="E154" i="84"/>
  <c r="E155" i="84"/>
  <c r="E156" i="84"/>
  <c r="E159" i="84"/>
  <c r="C13" i="21"/>
  <c r="F35" i="61"/>
  <c r="F40" i="61"/>
  <c r="F48" i="61"/>
  <c r="D261" i="53"/>
  <c r="D263" i="53"/>
  <c r="B22" i="21"/>
  <c r="D37" i="42"/>
  <c r="D43" i="42" s="1"/>
  <c r="D266" i="53"/>
  <c r="D267" i="53"/>
  <c r="D268" i="53"/>
  <c r="D269" i="53"/>
  <c r="D274" i="53"/>
  <c r="B32" i="21"/>
  <c r="D180" i="84"/>
  <c r="D181" i="84"/>
  <c r="D185" i="84"/>
  <c r="B33" i="21"/>
  <c r="E9" i="22"/>
  <c r="E10" i="22"/>
  <c r="E14" i="22"/>
  <c r="E11" i="22"/>
  <c r="E12" i="22"/>
  <c r="E13" i="22"/>
  <c r="E15" i="22"/>
  <c r="E16" i="22"/>
  <c r="B12" i="21"/>
  <c r="B13" i="21"/>
  <c r="B22" i="85"/>
  <c r="B32" i="85"/>
  <c r="B33" i="85"/>
  <c r="B12" i="85"/>
  <c r="B13" i="85"/>
  <c r="C22" i="85"/>
  <c r="C32" i="85"/>
  <c r="C33" i="85"/>
  <c r="C12" i="85"/>
  <c r="C13" i="85"/>
  <c r="D22" i="85"/>
  <c r="D32" i="85"/>
  <c r="D33" i="85"/>
  <c r="D12" i="85"/>
  <c r="D13" i="85"/>
  <c r="E22" i="85"/>
  <c r="E32" i="85"/>
  <c r="E33" i="85"/>
  <c r="E12" i="85"/>
  <c r="E13" i="85"/>
  <c r="F22" i="85"/>
  <c r="F32" i="85"/>
  <c r="F33" i="85"/>
  <c r="F12" i="85"/>
  <c r="F13" i="85"/>
  <c r="G22" i="85"/>
  <c r="G32" i="85"/>
  <c r="G33" i="85"/>
  <c r="G12" i="85"/>
  <c r="G13" i="85"/>
  <c r="H22" i="85"/>
  <c r="H32" i="85"/>
  <c r="H33" i="85"/>
  <c r="H12" i="85"/>
  <c r="H13" i="85"/>
  <c r="B197" i="85"/>
  <c r="B198" i="85"/>
  <c r="C197" i="85"/>
  <c r="C198" i="85"/>
  <c r="D197" i="85"/>
  <c r="D198" i="85"/>
  <c r="E197" i="85"/>
  <c r="E198" i="85"/>
  <c r="F197" i="85"/>
  <c r="F198" i="85"/>
  <c r="G197" i="85"/>
  <c r="G198" i="85"/>
  <c r="H197" i="85"/>
  <c r="H198" i="85"/>
  <c r="C10" i="62"/>
  <c r="C9" i="62"/>
  <c r="C8" i="62"/>
  <c r="C7" i="62"/>
  <c r="C6" i="62"/>
  <c r="C5" i="62"/>
  <c r="A259" i="85"/>
  <c r="A258" i="85"/>
  <c r="A257" i="85"/>
  <c r="A256" i="85"/>
  <c r="B226" i="85"/>
  <c r="C226" i="85"/>
  <c r="D226" i="85"/>
  <c r="E226" i="85"/>
  <c r="F226" i="85"/>
  <c r="G226" i="85"/>
  <c r="H226" i="85"/>
  <c r="A198" i="85"/>
  <c r="A197" i="85"/>
  <c r="A196" i="85"/>
  <c r="A195" i="85"/>
  <c r="A194" i="85"/>
  <c r="A193" i="85"/>
  <c r="A23" i="85"/>
  <c r="A33" i="85"/>
  <c r="A22" i="85"/>
  <c r="A32" i="85"/>
  <c r="A21" i="85"/>
  <c r="A31" i="85"/>
  <c r="A20" i="85"/>
  <c r="A30" i="85"/>
  <c r="A19" i="85"/>
  <c r="A29" i="85"/>
  <c r="A18" i="85"/>
  <c r="A28" i="85"/>
  <c r="B113" i="81"/>
  <c r="C30" i="53"/>
  <c r="C83" i="53"/>
  <c r="C31" i="53"/>
  <c r="C84" i="53"/>
  <c r="D220" i="53"/>
  <c r="D152" i="53"/>
  <c r="C40" i="81"/>
  <c r="D40" i="81"/>
  <c r="E40" i="81"/>
  <c r="F40" i="81"/>
  <c r="C65" i="81"/>
  <c r="C90" i="81"/>
  <c r="D31" i="53"/>
  <c r="D84" i="53"/>
  <c r="D90" i="81"/>
  <c r="E90" i="81"/>
  <c r="F90" i="81"/>
  <c r="G90" i="81"/>
  <c r="H90" i="81"/>
  <c r="E31" i="53"/>
  <c r="E84" i="53"/>
  <c r="F31" i="53"/>
  <c r="F84" i="53"/>
  <c r="G31" i="53"/>
  <c r="G84" i="53"/>
  <c r="H31" i="53"/>
  <c r="H84" i="53"/>
  <c r="I31" i="53"/>
  <c r="I84" i="53"/>
  <c r="E22" i="22"/>
  <c r="E21" i="22"/>
  <c r="E20" i="22"/>
  <c r="E19" i="22"/>
  <c r="E18" i="22"/>
  <c r="E17" i="22"/>
  <c r="C182" i="53"/>
  <c r="B41" i="84"/>
  <c r="D206" i="53"/>
  <c r="D215" i="53"/>
  <c r="D244" i="53"/>
  <c r="C44" i="83"/>
  <c r="D44" i="83"/>
  <c r="E44" i="83"/>
  <c r="F44" i="83"/>
  <c r="G44" i="83"/>
  <c r="H44" i="83"/>
  <c r="C72" i="83"/>
  <c r="D72" i="83"/>
  <c r="E72" i="83"/>
  <c r="F72" i="83"/>
  <c r="G72" i="83"/>
  <c r="H72" i="83"/>
  <c r="E149" i="84"/>
  <c r="K12" i="83"/>
  <c r="H31" i="84"/>
  <c r="H32" i="84"/>
  <c r="H33" i="84"/>
  <c r="C74" i="83"/>
  <c r="C13" i="84"/>
  <c r="C44" i="84"/>
  <c r="F4" i="22"/>
  <c r="F10" i="22" s="1"/>
  <c r="F22" i="22"/>
  <c r="E124" i="53"/>
  <c r="C100" i="83"/>
  <c r="D100" i="83"/>
  <c r="E100" i="83"/>
  <c r="F100" i="83"/>
  <c r="G100" i="83"/>
  <c r="H100" i="83"/>
  <c r="E17" i="42"/>
  <c r="C9" i="42"/>
  <c r="D9" i="42" s="1"/>
  <c r="A42" i="81"/>
  <c r="A67" i="83"/>
  <c r="A95" i="83"/>
  <c r="A34" i="84"/>
  <c r="A62" i="84"/>
  <c r="A123" i="84"/>
  <c r="A66" i="83"/>
  <c r="A94" i="83"/>
  <c r="A65" i="83"/>
  <c r="A93" i="83"/>
  <c r="A64" i="83"/>
  <c r="A92" i="83"/>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N9" i="61"/>
  <c r="R8" i="61"/>
  <c r="Q8" i="61"/>
  <c r="P8" i="61"/>
  <c r="O8" i="61"/>
  <c r="C15" i="61"/>
  <c r="C16" i="61"/>
  <c r="I173" i="29"/>
  <c r="H173" i="29"/>
  <c r="G173" i="29"/>
  <c r="F173" i="29"/>
  <c r="E173" i="29"/>
  <c r="D173" i="29"/>
  <c r="C173" i="29"/>
  <c r="B128" i="29"/>
  <c r="B143" i="29"/>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s="1"/>
  <c r="B171" i="29" s="1"/>
  <c r="B125" i="29"/>
  <c r="B124" i="29"/>
  <c r="B139" i="29" s="1"/>
  <c r="B154" i="29" s="1"/>
  <c r="B169" i="29" s="1"/>
  <c r="B123" i="29"/>
  <c r="B138" i="29" s="1"/>
  <c r="B153" i="29" s="1"/>
  <c r="B168" i="29" s="1"/>
  <c r="B122" i="29"/>
  <c r="B37" i="29"/>
  <c r="B36" i="29"/>
  <c r="B35" i="29"/>
  <c r="B34" i="29"/>
  <c r="B33" i="29"/>
  <c r="B32" i="29"/>
  <c r="C53" i="61"/>
  <c r="C52" i="61"/>
  <c r="C51" i="61"/>
  <c r="C50" i="61"/>
  <c r="C49" i="61"/>
  <c r="C48" i="61"/>
  <c r="A23" i="21"/>
  <c r="A33" i="21"/>
  <c r="A156" i="84"/>
  <c r="A155" i="84"/>
  <c r="A154" i="84"/>
  <c r="A55" i="55"/>
  <c r="A112" i="55" s="1"/>
  <c r="A164" i="55" s="1"/>
  <c r="A53" i="55"/>
  <c r="A110" i="55" s="1"/>
  <c r="A162" i="55" s="1"/>
  <c r="A56" i="55"/>
  <c r="A113" i="55" s="1"/>
  <c r="A165" i="55" s="1"/>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s="1"/>
  <c r="A147" i="55" s="1"/>
  <c r="A77" i="83"/>
  <c r="A105" i="83"/>
  <c r="A36" i="53"/>
  <c r="A48" i="83"/>
  <c r="A47" i="83"/>
  <c r="A75" i="83"/>
  <c r="A46" i="83"/>
  <c r="A35" i="55"/>
  <c r="A92" i="55" s="1"/>
  <c r="A144" i="55" s="1"/>
  <c r="A32" i="53"/>
  <c r="A31" i="53"/>
  <c r="A62" i="81"/>
  <c r="A61" i="81"/>
  <c r="A86" i="81"/>
  <c r="A111" i="81"/>
  <c r="A29" i="53"/>
  <c r="A150" i="53"/>
  <c r="A218" i="53"/>
  <c r="A60" i="81"/>
  <c r="A43" i="81"/>
  <c r="A68" i="81"/>
  <c r="A34" i="55"/>
  <c r="A91" i="55" s="1"/>
  <c r="A143" i="55" s="1"/>
  <c r="A40" i="55"/>
  <c r="A97" i="55" s="1"/>
  <c r="A149" i="55" s="1"/>
  <c r="A42" i="55"/>
  <c r="A99" i="55" s="1"/>
  <c r="A151" i="55" s="1"/>
  <c r="A44" i="55"/>
  <c r="A101" i="55" s="1"/>
  <c r="A153" i="55" s="1"/>
  <c r="A46" i="55"/>
  <c r="A103" i="55" s="1"/>
  <c r="A155" i="55" s="1"/>
  <c r="A50" i="55"/>
  <c r="A107" i="55" s="1"/>
  <c r="A159" i="55" s="1"/>
  <c r="A51" i="55"/>
  <c r="A108" i="55" s="1"/>
  <c r="A160" i="55" s="1"/>
  <c r="A30" i="55"/>
  <c r="A87" i="55" s="1"/>
  <c r="A139" i="55" s="1"/>
  <c r="A59" i="81"/>
  <c r="A28" i="55"/>
  <c r="A85" i="55" s="1"/>
  <c r="A137" i="55" s="1"/>
  <c r="A20" i="84"/>
  <c r="A51" i="84"/>
  <c r="A94" i="84"/>
  <c r="C40" i="84"/>
  <c r="D40" i="84"/>
  <c r="C41" i="84"/>
  <c r="G43" i="21"/>
  <c r="H61" i="29" s="1"/>
  <c r="H43" i="21"/>
  <c r="J97" i="29"/>
  <c r="H87" i="22"/>
  <c r="G43" i="85" s="1"/>
  <c r="I87" i="22"/>
  <c r="H43" i="85" s="1"/>
  <c r="A61" i="22"/>
  <c r="A62" i="22"/>
  <c r="A63" i="22"/>
  <c r="A64" i="22"/>
  <c r="B137" i="29"/>
  <c r="B152" i="29" s="1"/>
  <c r="B167" i="29" s="1"/>
  <c r="B140" i="29"/>
  <c r="B155" i="29" s="1"/>
  <c r="B170" i="29" s="1"/>
  <c r="H32" i="57"/>
  <c r="C65" i="29"/>
  <c r="D65" i="29" s="1"/>
  <c r="E65" i="29" s="1"/>
  <c r="F65" i="29" s="1"/>
  <c r="G65" i="29" s="1"/>
  <c r="H65" i="29" s="1"/>
  <c r="I65" i="29" s="1"/>
  <c r="I12" i="29"/>
  <c r="V12" i="83"/>
  <c r="W12" i="83"/>
  <c r="X12" i="83"/>
  <c r="P12" i="83"/>
  <c r="Q12" i="83"/>
  <c r="R12" i="83"/>
  <c r="S12" i="83"/>
  <c r="T12" i="83"/>
  <c r="J14" i="81"/>
  <c r="K12" i="81"/>
  <c r="K14" i="81"/>
  <c r="A44" i="81"/>
  <c r="A69" i="81"/>
  <c r="F12" i="48"/>
  <c r="H12" i="48" s="1"/>
  <c r="F13" i="48"/>
  <c r="H13" i="48" s="1"/>
  <c r="F14" i="48"/>
  <c r="H14" i="48" s="1"/>
  <c r="F15" i="48"/>
  <c r="H15" i="48" s="1"/>
  <c r="C34" i="48" s="1"/>
  <c r="F16" i="48"/>
  <c r="H16" i="48" s="1"/>
  <c r="A152" i="53"/>
  <c r="A220" i="53"/>
  <c r="A84" i="81"/>
  <c r="A26" i="53"/>
  <c r="A58" i="81"/>
  <c r="A57" i="81"/>
  <c r="A82" i="81"/>
  <c r="A28" i="72"/>
  <c r="A52" i="72" s="1"/>
  <c r="A109" i="72" s="1"/>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1" i="72"/>
  <c r="A26" i="55"/>
  <c r="A83" i="55" s="1"/>
  <c r="A135" i="55" s="1"/>
  <c r="A25" i="55"/>
  <c r="A82" i="55" s="1"/>
  <c r="A134" i="55" s="1"/>
  <c r="A24" i="55"/>
  <c r="A81" i="55" s="1"/>
  <c r="A133" i="55" s="1"/>
  <c r="A23" i="55"/>
  <c r="A80" i="55" s="1"/>
  <c r="A132" i="55" s="1"/>
  <c r="A19" i="55"/>
  <c r="A76" i="55" s="1"/>
  <c r="A128" i="55" s="1"/>
  <c r="A18" i="55"/>
  <c r="A75" i="55" s="1"/>
  <c r="A127" i="55" s="1"/>
  <c r="A16" i="55"/>
  <c r="A73" i="55" s="1"/>
  <c r="A125" i="55" s="1"/>
  <c r="A14" i="55"/>
  <c r="A71" i="55" s="1"/>
  <c r="A123" i="55" s="1"/>
  <c r="A32" i="55"/>
  <c r="A89" i="55" s="1"/>
  <c r="A141" i="55" s="1"/>
  <c r="V12" i="81"/>
  <c r="W12" i="81"/>
  <c r="X12" i="81"/>
  <c r="P12" i="81"/>
  <c r="Q12" i="81"/>
  <c r="R12" i="81"/>
  <c r="S12" i="81"/>
  <c r="T12" i="81"/>
  <c r="A30" i="48"/>
  <c r="A29" i="48"/>
  <c r="A28" i="48"/>
  <c r="A27" i="48"/>
  <c r="B98" i="29"/>
  <c r="B97" i="29"/>
  <c r="B96" i="29"/>
  <c r="B95" i="29"/>
  <c r="A20" i="21"/>
  <c r="A30" i="21" s="1"/>
  <c r="A19" i="21"/>
  <c r="A29" i="21" s="1"/>
  <c r="A18" i="21"/>
  <c r="A28" i="21" s="1"/>
  <c r="A21" i="21"/>
  <c r="A31" i="21"/>
  <c r="A22" i="21"/>
  <c r="A32" i="21"/>
  <c r="H28" i="69"/>
  <c r="B17" i="68"/>
  <c r="B16" i="68"/>
  <c r="A252" i="53"/>
  <c r="A251" i="53"/>
  <c r="A250" i="53"/>
  <c r="A248" i="53"/>
  <c r="A247" i="53"/>
  <c r="A246" i="53"/>
  <c r="A245" i="53"/>
  <c r="A195" i="53"/>
  <c r="G40" i="81"/>
  <c r="H40" i="81"/>
  <c r="A82" i="53"/>
  <c r="F17" i="42"/>
  <c r="E244" i="53"/>
  <c r="A20" i="55"/>
  <c r="A77" i="55" s="1"/>
  <c r="A129" i="55" s="1"/>
  <c r="A80" i="83"/>
  <c r="A19" i="84"/>
  <c r="A50" i="84"/>
  <c r="A91" i="84"/>
  <c r="A41" i="55"/>
  <c r="A98" i="55" s="1"/>
  <c r="A150" i="55" s="1"/>
  <c r="A48" i="55"/>
  <c r="A105" i="55" s="1"/>
  <c r="A157" i="55" s="1"/>
  <c r="A43" i="55"/>
  <c r="A100" i="55" s="1"/>
  <c r="A152" i="55" s="1"/>
  <c r="A84" i="83"/>
  <c r="A45" i="55"/>
  <c r="A102" i="55" s="1"/>
  <c r="A154" i="55" s="1"/>
  <c r="A88" i="83"/>
  <c r="A116" i="83"/>
  <c r="A47" i="53"/>
  <c r="A49" i="55"/>
  <c r="A106" i="55" s="1"/>
  <c r="A158" i="55" s="1"/>
  <c r="A13" i="55"/>
  <c r="A70" i="55" s="1"/>
  <c r="A122" i="55" s="1"/>
  <c r="A52" i="55"/>
  <c r="A109" i="55" s="1"/>
  <c r="A161" i="55" s="1"/>
  <c r="A153" i="53"/>
  <c r="A221" i="53"/>
  <c r="A85" i="53"/>
  <c r="A76" i="83"/>
  <c r="A15" i="84"/>
  <c r="A46" i="84"/>
  <c r="A75" i="84"/>
  <c r="A37" i="55"/>
  <c r="A94" i="55" s="1"/>
  <c r="A146" i="55" s="1"/>
  <c r="A118" i="83"/>
  <c r="A49" i="53"/>
  <c r="A29" i="84"/>
  <c r="A60" i="84"/>
  <c r="A121" i="84"/>
  <c r="A97" i="83"/>
  <c r="A58" i="55"/>
  <c r="A115" i="55" s="1"/>
  <c r="A167" i="55" s="1"/>
  <c r="D65" i="81"/>
  <c r="E65" i="81"/>
  <c r="A77" i="53"/>
  <c r="I61" i="29"/>
  <c r="J12" i="29"/>
  <c r="A14" i="72"/>
  <c r="A38" i="72" s="1"/>
  <c r="A62" i="72" s="1"/>
  <c r="A93" i="81"/>
  <c r="A10" i="53"/>
  <c r="A157" i="53"/>
  <c r="A225" i="53"/>
  <c r="A89" i="53"/>
  <c r="A108" i="83"/>
  <c r="A39" i="53"/>
  <c r="A165" i="53"/>
  <c r="A233" i="53"/>
  <c r="A97" i="53"/>
  <c r="D151" i="53"/>
  <c r="D219" i="53"/>
  <c r="A12" i="55"/>
  <c r="A69" i="55" s="1"/>
  <c r="A121" i="55" s="1"/>
  <c r="A95" i="81"/>
  <c r="A12" i="53"/>
  <c r="A16" i="72"/>
  <c r="A40" i="72" s="1"/>
  <c r="A69" i="72" s="1"/>
  <c r="E40" i="84"/>
  <c r="D41" i="84"/>
  <c r="D44" i="84"/>
  <c r="A24" i="84"/>
  <c r="A55" i="84"/>
  <c r="A110" i="84"/>
  <c r="A85" i="81"/>
  <c r="A29" i="55"/>
  <c r="A86" i="55" s="1"/>
  <c r="A138" i="55" s="1"/>
  <c r="A107" i="83"/>
  <c r="A38" i="53"/>
  <c r="A18" i="84"/>
  <c r="A49" i="84"/>
  <c r="A87" i="84"/>
  <c r="A110" i="83"/>
  <c r="A41" i="53"/>
  <c r="A21" i="84"/>
  <c r="A52" i="84"/>
  <c r="A98" i="84"/>
  <c r="A115" i="83"/>
  <c r="A46" i="53"/>
  <c r="A26" i="84"/>
  <c r="A57" i="84"/>
  <c r="A118" i="84"/>
  <c r="A54" i="55"/>
  <c r="A111" i="55" s="1"/>
  <c r="A163" i="55" s="1"/>
  <c r="A123" i="83"/>
  <c r="A54" i="53"/>
  <c r="A107" i="53"/>
  <c r="A27" i="84"/>
  <c r="A58" i="84"/>
  <c r="A119" i="84"/>
  <c r="A104" i="83"/>
  <c r="A35" i="53"/>
  <c r="A23" i="84"/>
  <c r="A54" i="84"/>
  <c r="A106" i="84"/>
  <c r="A112" i="83"/>
  <c r="A43" i="53"/>
  <c r="A117" i="83"/>
  <c r="A48" i="53"/>
  <c r="A28" i="84"/>
  <c r="A59" i="84"/>
  <c r="A120" i="84"/>
  <c r="A124" i="83"/>
  <c r="A55" i="53"/>
  <c r="A35" i="84"/>
  <c r="A63" i="84"/>
  <c r="A127" i="84"/>
  <c r="A121" i="83"/>
  <c r="A52" i="53"/>
  <c r="A32" i="84"/>
  <c r="L12" i="83"/>
  <c r="A18" i="72"/>
  <c r="A42" i="72" s="1"/>
  <c r="A77" i="72" s="1"/>
  <c r="A97" i="81"/>
  <c r="A14" i="53"/>
  <c r="A104" i="81"/>
  <c r="A21" i="53"/>
  <c r="A25" i="72"/>
  <c r="A49" i="72" s="1"/>
  <c r="A100" i="72" s="1"/>
  <c r="A147" i="53"/>
  <c r="A215" i="53"/>
  <c r="A79" i="53"/>
  <c r="A99" i="81"/>
  <c r="A16" i="53"/>
  <c r="A69" i="53"/>
  <c r="A20" i="72"/>
  <c r="A44" i="72" s="1"/>
  <c r="A83" i="72" s="1"/>
  <c r="A22" i="72"/>
  <c r="A46" i="72" s="1"/>
  <c r="A91" i="72" s="1"/>
  <c r="A101" i="81"/>
  <c r="A18" i="53"/>
  <c r="A106" i="81"/>
  <c r="A23" i="53"/>
  <c r="A27" i="72"/>
  <c r="A51" i="72" s="1"/>
  <c r="A106" i="72" s="1"/>
  <c r="A16" i="84"/>
  <c r="A47" i="84"/>
  <c r="A79" i="84"/>
  <c r="A57" i="55"/>
  <c r="A114" i="55" s="1"/>
  <c r="A166" i="55" s="1"/>
  <c r="A87" i="81"/>
  <c r="A112" i="81"/>
  <c r="A30" i="53"/>
  <c r="A31" i="55"/>
  <c r="A88" i="55" s="1"/>
  <c r="A140" i="55" s="1"/>
  <c r="A103" i="83"/>
  <c r="A34" i="53"/>
  <c r="A14" i="84"/>
  <c r="A45" i="84"/>
  <c r="A71" i="84"/>
  <c r="A111" i="83"/>
  <c r="A42" i="53"/>
  <c r="A22" i="84"/>
  <c r="A53" i="84"/>
  <c r="A102" i="84"/>
  <c r="A119" i="83"/>
  <c r="A50" i="53"/>
  <c r="A30" i="84"/>
  <c r="A61" i="84"/>
  <c r="A122" i="84"/>
  <c r="A98" i="83"/>
  <c r="A59" i="55"/>
  <c r="A116" i="55" s="1"/>
  <c r="A168" i="55" s="1"/>
  <c r="F149" i="84"/>
  <c r="L12" i="81"/>
  <c r="F20" i="22"/>
  <c r="F19" i="22"/>
  <c r="B52" i="84"/>
  <c r="C113" i="81"/>
  <c r="E152" i="53"/>
  <c r="E220" i="53"/>
  <c r="A36" i="84"/>
  <c r="A64" i="84"/>
  <c r="A131" i="84"/>
  <c r="A125" i="83"/>
  <c r="A56" i="53"/>
  <c r="F65" i="81"/>
  <c r="G65" i="81"/>
  <c r="H65" i="81"/>
  <c r="D30" i="53"/>
  <c r="D83" i="53"/>
  <c r="D113" i="81"/>
  <c r="G149" i="84"/>
  <c r="A137" i="53"/>
  <c r="A205" i="53"/>
  <c r="A105" i="53"/>
  <c r="A173" i="53"/>
  <c r="A99" i="53"/>
  <c r="A167" i="53"/>
  <c r="A235" i="53"/>
  <c r="A91" i="53"/>
  <c r="A159" i="53"/>
  <c r="A227" i="53"/>
  <c r="A110" i="81"/>
  <c r="A28" i="53"/>
  <c r="A149" i="53"/>
  <c r="A217" i="53"/>
  <c r="A31" i="72"/>
  <c r="A55" i="72" s="1"/>
  <c r="A118" i="72" s="1"/>
  <c r="A160" i="53"/>
  <c r="A228" i="53"/>
  <c r="A92" i="53"/>
  <c r="A151" i="53"/>
  <c r="A219" i="53"/>
  <c r="A83" i="53"/>
  <c r="A139" i="53"/>
  <c r="A207" i="53"/>
  <c r="A71" i="53"/>
  <c r="A142" i="53"/>
  <c r="A210" i="53"/>
  <c r="A74" i="53"/>
  <c r="A169" i="53"/>
  <c r="A237" i="53"/>
  <c r="A101" i="53"/>
  <c r="A63" i="53"/>
  <c r="A131" i="53"/>
  <c r="A199" i="53"/>
  <c r="C52" i="84"/>
  <c r="A135" i="53"/>
  <c r="A203" i="53"/>
  <c r="A67" i="53"/>
  <c r="M12" i="83"/>
  <c r="A164" i="53"/>
  <c r="A232" i="53"/>
  <c r="A96" i="53"/>
  <c r="A162" i="53"/>
  <c r="A230" i="53"/>
  <c r="A94" i="53"/>
  <c r="A76" i="53"/>
  <c r="A144" i="53"/>
  <c r="A212" i="53"/>
  <c r="A126" i="83"/>
  <c r="A57" i="53"/>
  <c r="A178" i="53"/>
  <c r="A243" i="53"/>
  <c r="A37" i="84"/>
  <c r="A65" i="84"/>
  <c r="A135" i="84"/>
  <c r="A95" i="53"/>
  <c r="A163" i="53"/>
  <c r="A231" i="53"/>
  <c r="A87" i="53"/>
  <c r="A155" i="53"/>
  <c r="A223" i="53"/>
  <c r="A175" i="53"/>
  <c r="A240" i="53"/>
  <c r="F40" i="84"/>
  <c r="F41" i="84"/>
  <c r="E41" i="84"/>
  <c r="E44" i="84"/>
  <c r="A133" i="53"/>
  <c r="A201" i="53"/>
  <c r="A65" i="53"/>
  <c r="A109" i="53"/>
  <c r="A177" i="53"/>
  <c r="A242" i="53"/>
  <c r="D52" i="84"/>
  <c r="E219" i="53"/>
  <c r="E151" i="53"/>
  <c r="N12" i="83"/>
  <c r="B47" i="84"/>
  <c r="A110" i="53"/>
  <c r="B65" i="84"/>
  <c r="C65" i="84"/>
  <c r="A81" i="53"/>
  <c r="B64" i="83"/>
  <c r="C64" i="83"/>
  <c r="H149" i="84"/>
  <c r="I149" i="84"/>
  <c r="E30" i="53"/>
  <c r="E83" i="53"/>
  <c r="E113" i="81"/>
  <c r="B48" i="84"/>
  <c r="B39" i="72"/>
  <c r="B66" i="83"/>
  <c r="C66" i="83"/>
  <c r="D66" i="83"/>
  <c r="E66" i="83"/>
  <c r="F66" i="83"/>
  <c r="G66" i="83"/>
  <c r="H66" i="83"/>
  <c r="F113" i="81"/>
  <c r="F30" i="53"/>
  <c r="F83" i="53"/>
  <c r="D64" i="83"/>
  <c r="E64" i="83"/>
  <c r="F64" i="83"/>
  <c r="G64" i="83"/>
  <c r="H64" i="83"/>
  <c r="B43" i="72"/>
  <c r="B65" i="83"/>
  <c r="C65" i="83"/>
  <c r="D65" i="83"/>
  <c r="E65" i="83"/>
  <c r="F65" i="83"/>
  <c r="G65" i="83"/>
  <c r="H65" i="83"/>
  <c r="E52" i="84"/>
  <c r="C47" i="84"/>
  <c r="B50" i="72"/>
  <c r="J149" i="84"/>
  <c r="G113" i="81"/>
  <c r="G30" i="53"/>
  <c r="G83" i="53"/>
  <c r="D65" i="84"/>
  <c r="B51" i="72"/>
  <c r="C48" i="84"/>
  <c r="B52" i="72"/>
  <c r="F52" i="84"/>
  <c r="C43" i="72"/>
  <c r="B46" i="72"/>
  <c r="E65" i="84"/>
  <c r="C61" i="84"/>
  <c r="D47" i="84"/>
  <c r="D48" i="84"/>
  <c r="C52" i="72"/>
  <c r="B61" i="84"/>
  <c r="H30" i="53"/>
  <c r="H83" i="53"/>
  <c r="H113" i="81"/>
  <c r="I30" i="53"/>
  <c r="I83" i="53"/>
  <c r="E47" i="84"/>
  <c r="F65" i="84"/>
  <c r="E48" i="84"/>
  <c r="E37" i="72"/>
  <c r="F48" i="84"/>
  <c r="D61" i="84"/>
  <c r="F37" i="72"/>
  <c r="F47" i="84"/>
  <c r="H37" i="72"/>
  <c r="G65" i="84"/>
  <c r="H65" i="84"/>
  <c r="E61" i="84"/>
  <c r="G37" i="72"/>
  <c r="F61" i="84"/>
  <c r="B48" i="72"/>
  <c r="G40" i="84"/>
  <c r="F44" i="84"/>
  <c r="A108" i="53"/>
  <c r="A176" i="53"/>
  <c r="A241" i="53"/>
  <c r="A78" i="81"/>
  <c r="A22" i="55"/>
  <c r="A79" i="55" s="1"/>
  <c r="A131" i="55" s="1"/>
  <c r="G17" i="42"/>
  <c r="A170" i="53"/>
  <c r="A238" i="53"/>
  <c r="A102" i="53"/>
  <c r="A161" i="53"/>
  <c r="A229" i="53"/>
  <c r="A93" i="53"/>
  <c r="A114" i="83"/>
  <c r="A45" i="53"/>
  <c r="A25" i="84"/>
  <c r="A56" i="84"/>
  <c r="A114" i="84"/>
  <c r="P16" i="61"/>
  <c r="A120" i="83"/>
  <c r="A51" i="53"/>
  <c r="A31" i="84"/>
  <c r="A122" i="83"/>
  <c r="A53" i="53"/>
  <c r="A33" i="84"/>
  <c r="M12" i="81"/>
  <c r="L14" i="81"/>
  <c r="A103" i="53"/>
  <c r="A171" i="53"/>
  <c r="A239" i="53"/>
  <c r="A88" i="53"/>
  <c r="A156" i="53"/>
  <c r="A224" i="53"/>
  <c r="A168" i="53"/>
  <c r="A236" i="53"/>
  <c r="A100" i="53"/>
  <c r="A15" i="72"/>
  <c r="A39" i="72" s="1"/>
  <c r="A65" i="72" s="1"/>
  <c r="A94" i="81"/>
  <c r="A11" i="53"/>
  <c r="A21" i="72"/>
  <c r="A45" i="72" s="1"/>
  <c r="A87" i="72" s="1"/>
  <c r="A100" i="81"/>
  <c r="A73" i="81"/>
  <c r="A17" i="55"/>
  <c r="A74" i="55" s="1"/>
  <c r="A126" i="55" s="1"/>
  <c r="A83" i="81"/>
  <c r="A27" i="55"/>
  <c r="A84" i="55" s="1"/>
  <c r="A136" i="55" s="1"/>
  <c r="A78" i="83"/>
  <c r="A39" i="55"/>
  <c r="A96" i="55" s="1"/>
  <c r="A148" i="55" s="1"/>
  <c r="A71" i="81"/>
  <c r="A15" i="55"/>
  <c r="A72" i="55" s="1"/>
  <c r="A124" i="55" s="1"/>
  <c r="A77" i="81"/>
  <c r="A21" i="55"/>
  <c r="A78" i="55" s="1"/>
  <c r="A130" i="55" s="1"/>
  <c r="A105" i="81"/>
  <c r="A22" i="53"/>
  <c r="A26" i="72"/>
  <c r="A50" i="72" s="1"/>
  <c r="A103" i="72" s="1"/>
  <c r="A109" i="81"/>
  <c r="A27" i="53"/>
  <c r="A30" i="72"/>
  <c r="A54" i="72" s="1"/>
  <c r="A115" i="72" s="1"/>
  <c r="A67" i="81"/>
  <c r="A11" i="55"/>
  <c r="A68" i="55" s="1"/>
  <c r="A120" i="55" s="1"/>
  <c r="F124" i="53"/>
  <c r="E206" i="53"/>
  <c r="E215" i="53"/>
  <c r="A36" i="55"/>
  <c r="A93" i="55" s="1"/>
  <c r="A145" i="55" s="1"/>
  <c r="A47" i="55"/>
  <c r="A104" i="55" s="1"/>
  <c r="A156" i="55" s="1"/>
  <c r="A74" i="83"/>
  <c r="A102" i="83"/>
  <c r="A33" i="53"/>
  <c r="A13" i="84"/>
  <c r="A44" i="84"/>
  <c r="A67" i="84"/>
  <c r="F220" i="53"/>
  <c r="F206" i="53"/>
  <c r="G124" i="53"/>
  <c r="F152" i="53"/>
  <c r="F244" i="53"/>
  <c r="F215" i="53"/>
  <c r="F219" i="53"/>
  <c r="F151" i="53"/>
  <c r="A96" i="81"/>
  <c r="A13" i="53"/>
  <c r="A17" i="72"/>
  <c r="A41" i="72" s="1"/>
  <c r="A72" i="72" s="1"/>
  <c r="A17" i="84"/>
  <c r="A48" i="84"/>
  <c r="A83" i="84"/>
  <c r="A106" i="83"/>
  <c r="A37" i="53"/>
  <c r="A98" i="81"/>
  <c r="A15" i="53"/>
  <c r="A19" i="72"/>
  <c r="A43" i="72" s="1"/>
  <c r="A80" i="72" s="1"/>
  <c r="A166" i="53"/>
  <c r="A234" i="53"/>
  <c r="A98" i="53"/>
  <c r="H17" i="42"/>
  <c r="G41" i="84"/>
  <c r="H40" i="84"/>
  <c r="H41" i="84"/>
  <c r="G52" i="84"/>
  <c r="G61" i="84"/>
  <c r="H61" i="84"/>
  <c r="A92" i="81"/>
  <c r="A9" i="53"/>
  <c r="A13" i="72"/>
  <c r="A37" i="72" s="1"/>
  <c r="A58" i="72" s="1"/>
  <c r="A75" i="53"/>
  <c r="A143" i="53"/>
  <c r="A211" i="53"/>
  <c r="M14" i="81"/>
  <c r="N12" i="81"/>
  <c r="N14" i="81"/>
  <c r="A106" i="53"/>
  <c r="A174" i="53"/>
  <c r="A24" i="72"/>
  <c r="A48" i="72" s="1"/>
  <c r="A97" i="72" s="1"/>
  <c r="A103" i="81"/>
  <c r="A20" i="53"/>
  <c r="B100" i="81"/>
  <c r="C100" i="81"/>
  <c r="D100" i="81"/>
  <c r="E100" i="81"/>
  <c r="F100" i="81"/>
  <c r="G100" i="81"/>
  <c r="H100" i="81"/>
  <c r="A29" i="72"/>
  <c r="A53" i="72" s="1"/>
  <c r="A112" i="72" s="1"/>
  <c r="A108" i="81"/>
  <c r="A25" i="53"/>
  <c r="A64" i="53"/>
  <c r="A132" i="53"/>
  <c r="A200" i="53"/>
  <c r="B46" i="84"/>
  <c r="B86" i="81"/>
  <c r="C86" i="81"/>
  <c r="D86" i="81"/>
  <c r="E86" i="81"/>
  <c r="F86" i="81"/>
  <c r="G86" i="81"/>
  <c r="H86" i="81"/>
  <c r="A80" i="53"/>
  <c r="A148" i="53"/>
  <c r="A216" i="53"/>
  <c r="A102" i="81"/>
  <c r="A19" i="53"/>
  <c r="A23" i="72"/>
  <c r="A47" i="72" s="1"/>
  <c r="A94" i="72" s="1"/>
  <c r="A172" i="53"/>
  <c r="A104" i="53"/>
  <c r="B109" i="81"/>
  <c r="C109" i="81"/>
  <c r="D109" i="81"/>
  <c r="E109" i="81"/>
  <c r="F109" i="81"/>
  <c r="G109" i="81"/>
  <c r="H109" i="81"/>
  <c r="H52" i="84"/>
  <c r="G47" i="84"/>
  <c r="G44" i="84"/>
  <c r="G48" i="84"/>
  <c r="A146" i="53"/>
  <c r="A214" i="53"/>
  <c r="A78" i="53"/>
  <c r="B44" i="84"/>
  <c r="A130" i="53"/>
  <c r="A198" i="53"/>
  <c r="A62" i="53"/>
  <c r="I17" i="42"/>
  <c r="B45" i="84"/>
  <c r="C46" i="84"/>
  <c r="B87" i="81"/>
  <c r="C87" i="81"/>
  <c r="D87" i="81"/>
  <c r="E87" i="81"/>
  <c r="F87" i="81"/>
  <c r="G87" i="81"/>
  <c r="H87" i="81"/>
  <c r="A73" i="53"/>
  <c r="A141" i="53"/>
  <c r="A209" i="53"/>
  <c r="A68" i="53"/>
  <c r="A136" i="53"/>
  <c r="A204" i="53"/>
  <c r="A66" i="53"/>
  <c r="A134" i="53"/>
  <c r="A202" i="53"/>
  <c r="A86" i="53"/>
  <c r="A154" i="53"/>
  <c r="A222" i="53"/>
  <c r="A72" i="53"/>
  <c r="A140" i="53"/>
  <c r="A208" i="53"/>
  <c r="H47" i="84"/>
  <c r="H44" i="84"/>
  <c r="H48" i="84"/>
  <c r="A158" i="53"/>
  <c r="A226" i="53"/>
  <c r="A90" i="53"/>
  <c r="G206" i="53"/>
  <c r="G215" i="53"/>
  <c r="G152" i="53"/>
  <c r="H124" i="53"/>
  <c r="G244" i="53"/>
  <c r="G220" i="53"/>
  <c r="G219" i="53"/>
  <c r="G151" i="53"/>
  <c r="B49" i="84"/>
  <c r="B44" i="72"/>
  <c r="B51" i="84"/>
  <c r="B55" i="72"/>
  <c r="B64" i="84"/>
  <c r="J17" i="42"/>
  <c r="B50" i="84"/>
  <c r="I124" i="53"/>
  <c r="H215" i="53"/>
  <c r="H206" i="53"/>
  <c r="H152" i="53"/>
  <c r="H244" i="53"/>
  <c r="H220" i="53"/>
  <c r="H219" i="53"/>
  <c r="H151" i="53"/>
  <c r="B63" i="84"/>
  <c r="D46" i="84"/>
  <c r="E46" i="84"/>
  <c r="C63" i="84"/>
  <c r="B54" i="84"/>
  <c r="B58" i="84"/>
  <c r="I244" i="53"/>
  <c r="I206" i="53"/>
  <c r="I220" i="53"/>
  <c r="I152" i="53"/>
  <c r="I215" i="53"/>
  <c r="J124" i="53"/>
  <c r="I151" i="53"/>
  <c r="I219" i="53"/>
  <c r="C50" i="84"/>
  <c r="C64" i="84"/>
  <c r="B59" i="84"/>
  <c r="B56" i="84"/>
  <c r="B57" i="84"/>
  <c r="C51" i="84"/>
  <c r="C44" i="72"/>
  <c r="C45" i="84"/>
  <c r="B60" i="84"/>
  <c r="C55" i="72"/>
  <c r="B55" i="84"/>
  <c r="C49" i="84"/>
  <c r="C56" i="84"/>
  <c r="D45" i="84"/>
  <c r="D64" i="84"/>
  <c r="D63" i="84"/>
  <c r="D49" i="84"/>
  <c r="C55" i="84"/>
  <c r="C60" i="84"/>
  <c r="D51" i="84"/>
  <c r="D54" i="72"/>
  <c r="C59" i="84"/>
  <c r="D50" i="84"/>
  <c r="C58" i="84"/>
  <c r="C57" i="84"/>
  <c r="C53" i="84"/>
  <c r="C54" i="84"/>
  <c r="F46" i="84"/>
  <c r="B71" i="72"/>
  <c r="B53" i="84"/>
  <c r="J215" i="53"/>
  <c r="J220" i="53"/>
  <c r="J206" i="53"/>
  <c r="J244" i="53"/>
  <c r="J152" i="53"/>
  <c r="J151" i="53"/>
  <c r="J219" i="53"/>
  <c r="B42" i="84"/>
  <c r="G46" i="84"/>
  <c r="H46" i="84"/>
  <c r="D54" i="84"/>
  <c r="D57" i="84"/>
  <c r="D59" i="84"/>
  <c r="D60" i="84"/>
  <c r="E63" i="84"/>
  <c r="D53" i="84"/>
  <c r="D58" i="84"/>
  <c r="E50" i="84"/>
  <c r="C157" i="29"/>
  <c r="C142" i="29"/>
  <c r="C127" i="29"/>
  <c r="C37" i="29"/>
  <c r="C172" i="29"/>
  <c r="E45" i="84"/>
  <c r="E51" i="84"/>
  <c r="D55" i="84"/>
  <c r="E49" i="84"/>
  <c r="E64" i="84"/>
  <c r="D56" i="84"/>
  <c r="F63" i="84"/>
  <c r="E56" i="84"/>
  <c r="F64" i="84"/>
  <c r="E55" i="84"/>
  <c r="F50" i="84"/>
  <c r="F51" i="84"/>
  <c r="E53" i="84"/>
  <c r="D172" i="29"/>
  <c r="D37" i="29"/>
  <c r="D157" i="29"/>
  <c r="D142" i="29"/>
  <c r="D127" i="29"/>
  <c r="E59" i="84"/>
  <c r="E57" i="84"/>
  <c r="D275" i="53"/>
  <c r="D277" i="53"/>
  <c r="F49" i="84"/>
  <c r="C42" i="84"/>
  <c r="E58" i="84"/>
  <c r="E60" i="84"/>
  <c r="E54" i="84"/>
  <c r="F45" i="84"/>
  <c r="C36" i="29"/>
  <c r="C126" i="29"/>
  <c r="C156" i="29"/>
  <c r="C171" i="29"/>
  <c r="C141" i="29"/>
  <c r="G45" i="84"/>
  <c r="G50" i="84"/>
  <c r="H50" i="84"/>
  <c r="F56" i="84"/>
  <c r="H63" i="84"/>
  <c r="G63" i="84"/>
  <c r="F60" i="84"/>
  <c r="G49" i="84"/>
  <c r="H49" i="84"/>
  <c r="D171" i="29"/>
  <c r="D141" i="29"/>
  <c r="D156" i="29"/>
  <c r="D36" i="29"/>
  <c r="D126" i="29"/>
  <c r="E157" i="29"/>
  <c r="E172" i="29"/>
  <c r="E142" i="29"/>
  <c r="E127" i="29"/>
  <c r="E37" i="29"/>
  <c r="F54" i="84"/>
  <c r="F59" i="84"/>
  <c r="G51" i="84"/>
  <c r="H51" i="84"/>
  <c r="F55" i="84"/>
  <c r="G64" i="84"/>
  <c r="H64" i="84"/>
  <c r="F58" i="84"/>
  <c r="H45" i="84"/>
  <c r="F57" i="84"/>
  <c r="D42" i="84"/>
  <c r="E275" i="53"/>
  <c r="E277" i="53"/>
  <c r="G58" i="84"/>
  <c r="H58" i="84"/>
  <c r="G56" i="84"/>
  <c r="H56" i="84"/>
  <c r="E156" i="29"/>
  <c r="E36" i="29"/>
  <c r="E126" i="29"/>
  <c r="E141" i="29"/>
  <c r="E171" i="29"/>
  <c r="H57" i="84"/>
  <c r="G57" i="84"/>
  <c r="F142" i="29"/>
  <c r="F127" i="29"/>
  <c r="F172" i="29"/>
  <c r="F37" i="29"/>
  <c r="F157" i="29"/>
  <c r="H55" i="84"/>
  <c r="G55" i="84"/>
  <c r="G59" i="84"/>
  <c r="H59" i="84"/>
  <c r="G54" i="84"/>
  <c r="H54" i="84"/>
  <c r="G53" i="84"/>
  <c r="E42" i="84"/>
  <c r="F53" i="84"/>
  <c r="H60" i="84"/>
  <c r="G60" i="84"/>
  <c r="F42" i="84"/>
  <c r="H53" i="84"/>
  <c r="F156" i="29"/>
  <c r="F36" i="29"/>
  <c r="F171" i="29"/>
  <c r="F126" i="29"/>
  <c r="F141" i="29"/>
  <c r="G157" i="29"/>
  <c r="G142" i="29"/>
  <c r="G127" i="29"/>
  <c r="G37" i="29"/>
  <c r="G172" i="29"/>
  <c r="G42" i="84"/>
  <c r="H172" i="29"/>
  <c r="H37" i="29"/>
  <c r="H157" i="29"/>
  <c r="H142" i="29"/>
  <c r="H127" i="29"/>
  <c r="G275" i="53"/>
  <c r="G277" i="53"/>
  <c r="H42" i="84"/>
  <c r="G141" i="29"/>
  <c r="G171" i="29"/>
  <c r="G36" i="29"/>
  <c r="G156" i="29"/>
  <c r="G126" i="29"/>
  <c r="F275" i="53"/>
  <c r="F277" i="53"/>
  <c r="H275" i="53"/>
  <c r="H277" i="53"/>
  <c r="I36" i="29"/>
  <c r="I126" i="29"/>
  <c r="I156" i="29"/>
  <c r="I141" i="29"/>
  <c r="I171" i="29"/>
  <c r="I275" i="53"/>
  <c r="I277" i="53"/>
  <c r="I157" i="29"/>
  <c r="I172" i="29"/>
  <c r="I142" i="29"/>
  <c r="I127" i="29"/>
  <c r="I37" i="29"/>
  <c r="J275" i="53"/>
  <c r="J277" i="53"/>
  <c r="H156" i="29"/>
  <c r="H126" i="29"/>
  <c r="H171" i="29"/>
  <c r="H36" i="29"/>
  <c r="H141" i="29"/>
  <c r="E30" i="85" l="1"/>
  <c r="E30" i="21"/>
  <c r="C10" i="42"/>
  <c r="E21" i="42" s="1"/>
  <c r="E23" i="42" s="1"/>
  <c r="C54" i="72"/>
  <c r="B95" i="72"/>
  <c r="C41" i="72"/>
  <c r="B41" i="72"/>
  <c r="D10" i="42"/>
  <c r="F21" i="42" s="1"/>
  <c r="F23" i="42" s="1"/>
  <c r="D10" i="21" s="1"/>
  <c r="E9" i="42"/>
  <c r="B30" i="85"/>
  <c r="B30" i="21"/>
  <c r="D30" i="85"/>
  <c r="D30" i="21"/>
  <c r="G30" i="21"/>
  <c r="G30" i="85"/>
  <c r="H30" i="85"/>
  <c r="H30" i="21"/>
  <c r="C30" i="21"/>
  <c r="C30" i="85"/>
  <c r="F30" i="85"/>
  <c r="F30" i="21"/>
  <c r="H34" i="42"/>
  <c r="I52" i="61" s="1"/>
  <c r="G34" i="42"/>
  <c r="H52" i="61" s="1"/>
  <c r="E34" i="42"/>
  <c r="F52" i="61" s="1"/>
  <c r="F34" i="42"/>
  <c r="D34" i="42"/>
  <c r="E52" i="61" s="1"/>
  <c r="I34" i="42"/>
  <c r="J52" i="61" s="1"/>
  <c r="E39" i="61"/>
  <c r="B10" i="21"/>
  <c r="B10" i="85"/>
  <c r="B195" i="85" s="1"/>
  <c r="F39" i="61"/>
  <c r="C10" i="21"/>
  <c r="C10" i="85"/>
  <c r="C195" i="85" s="1"/>
  <c r="G45" i="42"/>
  <c r="F20" i="85"/>
  <c r="H20" i="85"/>
  <c r="J45" i="42"/>
  <c r="H20" i="21"/>
  <c r="F45" i="42"/>
  <c r="E82" i="55"/>
  <c r="E134" i="55" s="1"/>
  <c r="E74" i="55"/>
  <c r="E126" i="55" s="1"/>
  <c r="G87" i="55"/>
  <c r="E70" i="55"/>
  <c r="E122" i="55" s="1"/>
  <c r="D89" i="55"/>
  <c r="D141" i="55" s="1"/>
  <c r="D85" i="55"/>
  <c r="B68" i="55"/>
  <c r="B120" i="55" s="1"/>
  <c r="C89" i="55"/>
  <c r="C141" i="55" s="1"/>
  <c r="C85" i="55"/>
  <c r="C137" i="55" s="1"/>
  <c r="E88" i="55"/>
  <c r="E84" i="55"/>
  <c r="F87" i="55"/>
  <c r="F139" i="55" s="1"/>
  <c r="H89" i="55"/>
  <c r="H141" i="55" s="1"/>
  <c r="H87" i="55"/>
  <c r="H139" i="55" s="1"/>
  <c r="L10" i="87"/>
  <c r="D159" i="72" s="1"/>
  <c r="G48" i="57"/>
  <c r="E67" i="86" s="1"/>
  <c r="F67" i="86" s="1"/>
  <c r="E23" i="22"/>
  <c r="B35" i="21" s="1"/>
  <c r="G8" i="57"/>
  <c r="D87" i="55"/>
  <c r="D139" i="55" s="1"/>
  <c r="M12" i="87"/>
  <c r="N12" i="87"/>
  <c r="N15" i="87" s="1"/>
  <c r="K27" i="87"/>
  <c r="C88" i="55"/>
  <c r="C140" i="55" s="1"/>
  <c r="C84" i="55"/>
  <c r="C136" i="55" s="1"/>
  <c r="D88" i="55"/>
  <c r="D140" i="55" s="1"/>
  <c r="D84" i="55"/>
  <c r="D136" i="55" s="1"/>
  <c r="E86" i="55"/>
  <c r="E138" i="55" s="1"/>
  <c r="E87" i="55"/>
  <c r="E139" i="55" s="1"/>
  <c r="F86" i="55"/>
  <c r="F138" i="55" s="1"/>
  <c r="G86" i="55"/>
  <c r="G138" i="55" s="1"/>
  <c r="H88" i="55"/>
  <c r="H140" i="55" s="1"/>
  <c r="H84" i="55"/>
  <c r="H136" i="55" s="1"/>
  <c r="C87" i="55"/>
  <c r="C139" i="55" s="1"/>
  <c r="F89" i="55"/>
  <c r="F141" i="55" s="1"/>
  <c r="F85" i="55"/>
  <c r="F137" i="55" s="1"/>
  <c r="G89" i="55"/>
  <c r="G141" i="55" s="1"/>
  <c r="G85" i="55"/>
  <c r="G137" i="55" s="1"/>
  <c r="H85" i="55"/>
  <c r="H137" i="55" s="1"/>
  <c r="B89" i="55"/>
  <c r="B141" i="55" s="1"/>
  <c r="B85" i="55"/>
  <c r="B137" i="55" s="1"/>
  <c r="B81" i="55"/>
  <c r="B133" i="55" s="1"/>
  <c r="B77" i="55"/>
  <c r="B129" i="55" s="1"/>
  <c r="B73" i="55"/>
  <c r="B125" i="55" s="1"/>
  <c r="C86" i="55"/>
  <c r="C138" i="55" s="1"/>
  <c r="D86" i="55"/>
  <c r="D138" i="55" s="1"/>
  <c r="E89" i="55"/>
  <c r="E141" i="55" s="1"/>
  <c r="E85" i="55"/>
  <c r="E137" i="55" s="1"/>
  <c r="F88" i="55"/>
  <c r="F140" i="55" s="1"/>
  <c r="F84" i="55"/>
  <c r="F136" i="55" s="1"/>
  <c r="G88" i="55"/>
  <c r="G140" i="55" s="1"/>
  <c r="G84" i="55"/>
  <c r="G136" i="55" s="1"/>
  <c r="H86" i="55"/>
  <c r="H138" i="55" s="1"/>
  <c r="B70" i="55"/>
  <c r="B122" i="55" s="1"/>
  <c r="O12" i="87"/>
  <c r="O13" i="87" s="1"/>
  <c r="O25" i="87" s="1"/>
  <c r="A139" i="72"/>
  <c r="A143" i="72" s="1"/>
  <c r="A150" i="72" s="1"/>
  <c r="D154" i="72"/>
  <c r="A140" i="72"/>
  <c r="A144" i="72" s="1"/>
  <c r="A151" i="72" s="1"/>
  <c r="D155" i="72"/>
  <c r="M13" i="87"/>
  <c r="F32" i="72"/>
  <c r="G32" i="72"/>
  <c r="G12" i="72" s="1"/>
  <c r="C50" i="72"/>
  <c r="B38" i="72"/>
  <c r="B63" i="72" s="1"/>
  <c r="B29" i="21"/>
  <c r="B29" i="85"/>
  <c r="B64" i="72"/>
  <c r="B45" i="72"/>
  <c r="E155" i="72"/>
  <c r="H32" i="72"/>
  <c r="H12" i="72" s="1"/>
  <c r="E76" i="55"/>
  <c r="B88" i="55"/>
  <c r="B140" i="55" s="1"/>
  <c r="B84" i="55"/>
  <c r="B136" i="55" s="1"/>
  <c r="B80" i="55"/>
  <c r="B132" i="55" s="1"/>
  <c r="B76" i="55"/>
  <c r="B72" i="55"/>
  <c r="B124" i="55" s="1"/>
  <c r="C80" i="55"/>
  <c r="C132" i="55" s="1"/>
  <c r="B86" i="55"/>
  <c r="B138" i="55" s="1"/>
  <c r="B82" i="55"/>
  <c r="B134" i="55" s="1"/>
  <c r="B78" i="55"/>
  <c r="B130" i="55" s="1"/>
  <c r="B74" i="55"/>
  <c r="B126" i="55" s="1"/>
  <c r="B71" i="55"/>
  <c r="B123" i="55" s="1"/>
  <c r="E154" i="72"/>
  <c r="D95" i="72"/>
  <c r="D96" i="72"/>
  <c r="C70" i="72"/>
  <c r="C71" i="72"/>
  <c r="D38" i="72"/>
  <c r="D42" i="72"/>
  <c r="D46" i="72"/>
  <c r="D52" i="72"/>
  <c r="D40" i="72"/>
  <c r="D53" i="72"/>
  <c r="F171" i="72"/>
  <c r="G133" i="72"/>
  <c r="F159" i="72"/>
  <c r="F153" i="72"/>
  <c r="F155" i="72"/>
  <c r="F170" i="72"/>
  <c r="D49" i="72"/>
  <c r="C46" i="72"/>
  <c r="C42" i="72"/>
  <c r="C38" i="72"/>
  <c r="B37" i="72"/>
  <c r="B32" i="72"/>
  <c r="D45" i="72"/>
  <c r="D48" i="72"/>
  <c r="C32" i="72"/>
  <c r="E32" i="72"/>
  <c r="F12" i="72"/>
  <c r="D44" i="72"/>
  <c r="D55" i="72"/>
  <c r="D41" i="72"/>
  <c r="D50" i="72"/>
  <c r="Q16" i="61"/>
  <c r="R9" i="61"/>
  <c r="R16" i="61" s="1"/>
  <c r="C47" i="72"/>
  <c r="C39" i="72"/>
  <c r="C48" i="72"/>
  <c r="C51" i="72"/>
  <c r="D51" i="72"/>
  <c r="D43" i="72"/>
  <c r="D32" i="72"/>
  <c r="D39" i="72"/>
  <c r="B79" i="72"/>
  <c r="B78" i="72"/>
  <c r="E33" i="72"/>
  <c r="O16" i="61"/>
  <c r="E153" i="72"/>
  <c r="F154" i="72"/>
  <c r="E159" i="72"/>
  <c r="E171" i="72"/>
  <c r="E174" i="72" s="1"/>
  <c r="O11" i="61"/>
  <c r="P11" i="61" s="1"/>
  <c r="Q11" i="61" s="1"/>
  <c r="R11" i="61" s="1"/>
  <c r="E83" i="55"/>
  <c r="E135" i="55" s="1"/>
  <c r="D209" i="55"/>
  <c r="B28" i="85" s="1"/>
  <c r="G77" i="55"/>
  <c r="H61" i="55"/>
  <c r="E72" i="55"/>
  <c r="E124" i="55" s="1"/>
  <c r="F82" i="55"/>
  <c r="F134" i="55" s="1"/>
  <c r="C68" i="55"/>
  <c r="C120" i="55" s="1"/>
  <c r="D78" i="55"/>
  <c r="D130" i="55" s="1"/>
  <c r="F78" i="55"/>
  <c r="F130" i="55" s="1"/>
  <c r="F74" i="55"/>
  <c r="F126" i="55" s="1"/>
  <c r="F70" i="55"/>
  <c r="G69" i="55"/>
  <c r="G121" i="55" s="1"/>
  <c r="D74" i="55"/>
  <c r="D126" i="55" s="1"/>
  <c r="C76" i="55"/>
  <c r="C128" i="55" s="1"/>
  <c r="C81" i="55"/>
  <c r="C133" i="55" s="1"/>
  <c r="C77" i="55"/>
  <c r="C129" i="55" s="1"/>
  <c r="C73" i="55"/>
  <c r="C125" i="55" s="1"/>
  <c r="C69" i="55"/>
  <c r="C121" i="55" s="1"/>
  <c r="E80" i="55"/>
  <c r="F81" i="55"/>
  <c r="F133" i="55" s="1"/>
  <c r="F77" i="55"/>
  <c r="F129" i="55" s="1"/>
  <c r="H72" i="55"/>
  <c r="H124" i="55" s="1"/>
  <c r="G83" i="55"/>
  <c r="G75" i="55"/>
  <c r="G127" i="55" s="1"/>
  <c r="H33" i="55"/>
  <c r="H10" i="55" s="1"/>
  <c r="D70" i="55"/>
  <c r="D122" i="55" s="1"/>
  <c r="C72" i="55"/>
  <c r="C124" i="55" s="1"/>
  <c r="E79" i="55"/>
  <c r="E131" i="55" s="1"/>
  <c r="F80" i="55"/>
  <c r="F132" i="55" s="1"/>
  <c r="G80" i="55"/>
  <c r="G132" i="55" s="1"/>
  <c r="G73" i="55"/>
  <c r="G125" i="55" s="1"/>
  <c r="G76" i="55"/>
  <c r="G128" i="55" s="1"/>
  <c r="G72" i="55"/>
  <c r="G124" i="55" s="1"/>
  <c r="G33" i="55"/>
  <c r="G10" i="55" s="1"/>
  <c r="C83" i="55"/>
  <c r="C79" i="55"/>
  <c r="C131" i="55" s="1"/>
  <c r="C75" i="55"/>
  <c r="C127" i="55" s="1"/>
  <c r="G79" i="55"/>
  <c r="G131" i="55" s="1"/>
  <c r="G71" i="55"/>
  <c r="G123" i="55" s="1"/>
  <c r="G61" i="55"/>
  <c r="F61" i="55"/>
  <c r="D81" i="55"/>
  <c r="D133" i="55" s="1"/>
  <c r="D77" i="55"/>
  <c r="D129" i="55" s="1"/>
  <c r="D73" i="55"/>
  <c r="D125" i="55" s="1"/>
  <c r="D69" i="55"/>
  <c r="D121" i="55" s="1"/>
  <c r="E68" i="55"/>
  <c r="E120" i="55" s="1"/>
  <c r="G68" i="55"/>
  <c r="G120" i="55" s="1"/>
  <c r="C33" i="55"/>
  <c r="C10" i="55" s="1"/>
  <c r="D80" i="55"/>
  <c r="D132" i="55" s="1"/>
  <c r="D76" i="55"/>
  <c r="D128" i="55" s="1"/>
  <c r="D72" i="55"/>
  <c r="D124" i="55" s="1"/>
  <c r="E75" i="55"/>
  <c r="E127" i="55" s="1"/>
  <c r="E71" i="55"/>
  <c r="E123" i="55" s="1"/>
  <c r="F73" i="55"/>
  <c r="F125" i="55" s="1"/>
  <c r="F69" i="55"/>
  <c r="F121" i="55" s="1"/>
  <c r="G82" i="55"/>
  <c r="G134" i="55" s="1"/>
  <c r="G78" i="55"/>
  <c r="G130" i="55" s="1"/>
  <c r="G74" i="55"/>
  <c r="G126" i="55" s="1"/>
  <c r="G70" i="55"/>
  <c r="G122" i="55" s="1"/>
  <c r="B61" i="55"/>
  <c r="C82" i="55"/>
  <c r="C134" i="55" s="1"/>
  <c r="C78" i="55"/>
  <c r="C130" i="55" s="1"/>
  <c r="C74" i="55"/>
  <c r="C126" i="55" s="1"/>
  <c r="C70" i="55"/>
  <c r="C122" i="55" s="1"/>
  <c r="E69" i="55"/>
  <c r="E121" i="55" s="1"/>
  <c r="F76" i="55"/>
  <c r="F128" i="55" s="1"/>
  <c r="F72" i="55"/>
  <c r="F124" i="55" s="1"/>
  <c r="G81" i="55"/>
  <c r="G133" i="55" s="1"/>
  <c r="C166" i="55"/>
  <c r="C155" i="55"/>
  <c r="C159" i="55"/>
  <c r="D167" i="55"/>
  <c r="C165" i="55"/>
  <c r="C151" i="55"/>
  <c r="C147" i="55"/>
  <c r="C135" i="55"/>
  <c r="E156" i="55"/>
  <c r="C167" i="55"/>
  <c r="C160" i="55"/>
  <c r="C156" i="55"/>
  <c r="C152" i="55"/>
  <c r="C148" i="55"/>
  <c r="C144" i="55"/>
  <c r="C71" i="55"/>
  <c r="D160" i="55"/>
  <c r="D156" i="55"/>
  <c r="D152" i="55"/>
  <c r="D148" i="55"/>
  <c r="D144" i="55"/>
  <c r="D33" i="55"/>
  <c r="E160" i="55"/>
  <c r="E144" i="55"/>
  <c r="F160" i="55"/>
  <c r="F155" i="55"/>
  <c r="F150" i="55"/>
  <c r="B155" i="55"/>
  <c r="B146" i="55"/>
  <c r="D61" i="55"/>
  <c r="C61" i="55"/>
  <c r="D68" i="55"/>
  <c r="D120" i="55" s="1"/>
  <c r="E167" i="55"/>
  <c r="E148" i="55"/>
  <c r="F167" i="55"/>
  <c r="D137" i="55"/>
  <c r="F122" i="55"/>
  <c r="E61" i="55"/>
  <c r="D165" i="55"/>
  <c r="D158" i="55"/>
  <c r="D154" i="55"/>
  <c r="D150" i="55"/>
  <c r="D146" i="55"/>
  <c r="D71" i="55"/>
  <c r="D75" i="55"/>
  <c r="D79" i="55"/>
  <c r="D83" i="55"/>
  <c r="E166" i="55"/>
  <c r="E158" i="55"/>
  <c r="E147" i="55"/>
  <c r="E152" i="55"/>
  <c r="F168" i="55"/>
  <c r="F166" i="55"/>
  <c r="F154" i="55"/>
  <c r="F146" i="55"/>
  <c r="F33" i="55"/>
  <c r="F68" i="55"/>
  <c r="F120" i="55" s="1"/>
  <c r="E140" i="55"/>
  <c r="E136" i="55"/>
  <c r="E132" i="55"/>
  <c r="E128" i="55"/>
  <c r="E81" i="55"/>
  <c r="E77" i="55"/>
  <c r="E73" i="55"/>
  <c r="E33" i="55"/>
  <c r="H82" i="55"/>
  <c r="H78" i="55"/>
  <c r="H74" i="55"/>
  <c r="H70" i="55"/>
  <c r="B160" i="55"/>
  <c r="B135" i="55"/>
  <c r="F71" i="55"/>
  <c r="F75" i="55"/>
  <c r="F79" i="55"/>
  <c r="F83" i="55"/>
  <c r="B165" i="55"/>
  <c r="H167" i="55"/>
  <c r="H165" i="55"/>
  <c r="H160" i="55"/>
  <c r="H158" i="55"/>
  <c r="H156" i="55"/>
  <c r="H154" i="55"/>
  <c r="H152" i="55"/>
  <c r="H150" i="55"/>
  <c r="H148" i="55"/>
  <c r="H146" i="55"/>
  <c r="H144" i="55"/>
  <c r="H68" i="55"/>
  <c r="H120" i="55" s="1"/>
  <c r="H69" i="55"/>
  <c r="H73" i="55"/>
  <c r="H76" i="55"/>
  <c r="H80" i="55"/>
  <c r="H71" i="55"/>
  <c r="H75" i="55"/>
  <c r="H77" i="55"/>
  <c r="H79" i="55"/>
  <c r="H81" i="55"/>
  <c r="H83" i="55"/>
  <c r="B144" i="55"/>
  <c r="B128" i="55"/>
  <c r="G135" i="55"/>
  <c r="G129" i="55"/>
  <c r="B159" i="55"/>
  <c r="B150" i="55"/>
  <c r="B33" i="55"/>
  <c r="B139" i="55"/>
  <c r="G139" i="55"/>
  <c r="B166" i="55"/>
  <c r="B156" i="55"/>
  <c r="B154" i="55"/>
  <c r="B147" i="55"/>
  <c r="B127" i="55"/>
  <c r="B158" i="55"/>
  <c r="B151" i="55"/>
  <c r="B131" i="55"/>
  <c r="E204" i="55"/>
  <c r="F172" i="55"/>
  <c r="D9" i="87"/>
  <c r="E192" i="55" s="1"/>
  <c r="F8" i="87"/>
  <c r="E9" i="87"/>
  <c r="C10" i="87"/>
  <c r="J166" i="84"/>
  <c r="K53" i="61" s="1"/>
  <c r="V11" i="61"/>
  <c r="V16" i="61" s="1"/>
  <c r="E166" i="84"/>
  <c r="F18" i="61" s="1"/>
  <c r="H50" i="57"/>
  <c r="F84" i="57"/>
  <c r="G37" i="57"/>
  <c r="F12" i="22"/>
  <c r="F9" i="22"/>
  <c r="F8" i="22"/>
  <c r="H272" i="85"/>
  <c r="I258" i="85"/>
  <c r="H222" i="85"/>
  <c r="I173" i="85"/>
  <c r="H258" i="85"/>
  <c r="G272" i="85"/>
  <c r="G222" i="85"/>
  <c r="H173" i="85"/>
  <c r="F17" i="22"/>
  <c r="F11" i="22"/>
  <c r="F21" i="22"/>
  <c r="I97" i="29"/>
  <c r="F15" i="22"/>
  <c r="F14" i="22"/>
  <c r="F16" i="22"/>
  <c r="F18" i="22"/>
  <c r="G4" i="22"/>
  <c r="G8" i="22" s="1"/>
  <c r="F13" i="22"/>
  <c r="E52" i="48"/>
  <c r="B31" i="85" s="1"/>
  <c r="F52" i="48"/>
  <c r="G52" i="48"/>
  <c r="I166" i="84"/>
  <c r="D166" i="84"/>
  <c r="H166" i="84"/>
  <c r="F166" i="84"/>
  <c r="E70" i="86"/>
  <c r="F70" i="86" s="1"/>
  <c r="F112" i="57"/>
  <c r="H53" i="61"/>
  <c r="H18" i="61"/>
  <c r="D10" i="62"/>
  <c r="E72" i="86"/>
  <c r="F72" i="86" s="1"/>
  <c r="D30" i="89"/>
  <c r="D27" i="89"/>
  <c r="C22" i="89"/>
  <c r="D22" i="89" s="1"/>
  <c r="C7" i="89"/>
  <c r="B7" i="89"/>
  <c r="C33" i="48"/>
  <c r="E33" i="48" s="1"/>
  <c r="J14" i="48"/>
  <c r="J9" i="48"/>
  <c r="C28" i="48"/>
  <c r="J13" i="48"/>
  <c r="C32" i="48"/>
  <c r="E32" i="48" s="1"/>
  <c r="G29" i="48"/>
  <c r="F29" i="48"/>
  <c r="E29" i="48"/>
  <c r="G36" i="48"/>
  <c r="H22" i="48"/>
  <c r="J16" i="48"/>
  <c r="C35" i="48"/>
  <c r="C31" i="48"/>
  <c r="E31" i="48" s="1"/>
  <c r="J12" i="48"/>
  <c r="C27" i="48"/>
  <c r="F36" i="48"/>
  <c r="J10" i="48"/>
  <c r="F34" i="48"/>
  <c r="E34" i="48"/>
  <c r="G34" i="48"/>
  <c r="J15" i="48"/>
  <c r="C42" i="48"/>
  <c r="C30" i="48"/>
  <c r="J11" i="48"/>
  <c r="E65" i="86" l="1"/>
  <c r="F65" i="86" s="1"/>
  <c r="G50" i="57"/>
  <c r="D6" i="62" s="1"/>
  <c r="G156" i="72"/>
  <c r="D156" i="72"/>
  <c r="H156" i="72"/>
  <c r="E156" i="72"/>
  <c r="I156" i="72"/>
  <c r="F156" i="72"/>
  <c r="J156" i="72"/>
  <c r="G39" i="61"/>
  <c r="F20" i="21"/>
  <c r="H45" i="42"/>
  <c r="E20" i="21"/>
  <c r="E20" i="85"/>
  <c r="G20" i="21"/>
  <c r="I45" i="42"/>
  <c r="B35" i="85"/>
  <c r="B36" i="85" s="1"/>
  <c r="G20" i="85"/>
  <c r="D20" i="85"/>
  <c r="G52" i="61"/>
  <c r="C20" i="21"/>
  <c r="C20" i="85"/>
  <c r="E45" i="42"/>
  <c r="E47" i="42" s="1"/>
  <c r="D45" i="42"/>
  <c r="D47" i="42" s="1"/>
  <c r="D10" i="85"/>
  <c r="D195" i="85" s="1"/>
  <c r="F47" i="42"/>
  <c r="E209" i="55"/>
  <c r="C28" i="21" s="1"/>
  <c r="F174" i="72"/>
  <c r="E10" i="42"/>
  <c r="G21" i="42" s="1"/>
  <c r="G23" i="42" s="1"/>
  <c r="G47" i="42" s="1"/>
  <c r="D20" i="21"/>
  <c r="B20" i="85"/>
  <c r="B20" i="21"/>
  <c r="D169" i="29"/>
  <c r="D34" i="29"/>
  <c r="D154" i="29"/>
  <c r="D139" i="29"/>
  <c r="D124" i="29"/>
  <c r="C139" i="29"/>
  <c r="C124" i="29"/>
  <c r="C34" i="29"/>
  <c r="C154" i="29"/>
  <c r="C169" i="29"/>
  <c r="E154" i="29"/>
  <c r="E34" i="29"/>
  <c r="E139" i="29"/>
  <c r="E169" i="29"/>
  <c r="E124" i="29"/>
  <c r="H65" i="55"/>
  <c r="C12" i="87"/>
  <c r="D193" i="55" s="1"/>
  <c r="O16" i="87"/>
  <c r="O27" i="87" s="1"/>
  <c r="G145" i="72" s="1"/>
  <c r="M16" i="87"/>
  <c r="E152" i="72" s="1"/>
  <c r="N13" i="87"/>
  <c r="N19" i="87" s="1"/>
  <c r="L12" i="87"/>
  <c r="N21" i="87"/>
  <c r="N26" i="87"/>
  <c r="F144" i="72" s="1"/>
  <c r="F151" i="72"/>
  <c r="O15" i="87"/>
  <c r="O26" i="87" s="1"/>
  <c r="G144" i="72" s="1"/>
  <c r="N16" i="87"/>
  <c r="E150" i="72"/>
  <c r="M25" i="87"/>
  <c r="E143" i="72" s="1"/>
  <c r="D8" i="62"/>
  <c r="C19" i="68" s="1"/>
  <c r="E71" i="86"/>
  <c r="F71" i="86" s="1"/>
  <c r="F73" i="86" s="1"/>
  <c r="D5" i="62"/>
  <c r="F64" i="86"/>
  <c r="K18" i="61"/>
  <c r="J175" i="84" s="1"/>
  <c r="F53" i="61"/>
  <c r="G65" i="55"/>
  <c r="C65" i="55"/>
  <c r="L15" i="87"/>
  <c r="L26" i="87" s="1"/>
  <c r="D144" i="72" s="1"/>
  <c r="M15" i="87"/>
  <c r="D10" i="87"/>
  <c r="G143" i="72"/>
  <c r="O19" i="87"/>
  <c r="P12" i="87"/>
  <c r="M19" i="87"/>
  <c r="M21" i="87"/>
  <c r="G154" i="72"/>
  <c r="C29" i="21"/>
  <c r="C29" i="85"/>
  <c r="D29" i="85"/>
  <c r="D29" i="21"/>
  <c r="F33" i="72"/>
  <c r="E34" i="72"/>
  <c r="D12" i="72"/>
  <c r="D35" i="72"/>
  <c r="C35" i="72"/>
  <c r="C12" i="72"/>
  <c r="B35" i="72"/>
  <c r="B12" i="72"/>
  <c r="E35" i="72"/>
  <c r="E12" i="72"/>
  <c r="G159" i="72"/>
  <c r="G153" i="72"/>
  <c r="G150" i="72"/>
  <c r="G155" i="72"/>
  <c r="H133" i="72"/>
  <c r="G170" i="72"/>
  <c r="G152" i="72"/>
  <c r="G171" i="72"/>
  <c r="D78" i="72"/>
  <c r="D79" i="72"/>
  <c r="C78" i="72"/>
  <c r="C79" i="72"/>
  <c r="C95" i="72"/>
  <c r="C96" i="72"/>
  <c r="C64" i="72"/>
  <c r="C63" i="72"/>
  <c r="D70" i="72"/>
  <c r="D71" i="72"/>
  <c r="D63" i="72"/>
  <c r="D64" i="72"/>
  <c r="B28" i="21"/>
  <c r="H121" i="55"/>
  <c r="E133" i="55"/>
  <c r="D10" i="55"/>
  <c r="D65" i="55"/>
  <c r="H131" i="55"/>
  <c r="H132" i="55"/>
  <c r="F135" i="55"/>
  <c r="H126" i="55"/>
  <c r="E10" i="55"/>
  <c r="E65" i="55"/>
  <c r="D135" i="55"/>
  <c r="H133" i="55"/>
  <c r="H129" i="55"/>
  <c r="H128" i="55"/>
  <c r="F131" i="55"/>
  <c r="H130" i="55"/>
  <c r="E125" i="55"/>
  <c r="D131" i="55"/>
  <c r="C123" i="55"/>
  <c r="H123" i="55"/>
  <c r="F123" i="55"/>
  <c r="H122" i="55"/>
  <c r="D123" i="55"/>
  <c r="F204" i="55"/>
  <c r="G172" i="55"/>
  <c r="B65" i="55"/>
  <c r="B10" i="55"/>
  <c r="H135" i="55"/>
  <c r="H127" i="55"/>
  <c r="H125" i="55"/>
  <c r="F127" i="55"/>
  <c r="H134" i="55"/>
  <c r="E129" i="55"/>
  <c r="F10" i="55"/>
  <c r="F65" i="55"/>
  <c r="D127" i="55"/>
  <c r="F192" i="55"/>
  <c r="E10" i="87"/>
  <c r="F9" i="87"/>
  <c r="G8" i="87"/>
  <c r="F23" i="22"/>
  <c r="C35" i="85" s="1"/>
  <c r="G14" i="22"/>
  <c r="G15" i="22"/>
  <c r="G19" i="22"/>
  <c r="G22" i="22"/>
  <c r="G9" i="22"/>
  <c r="G21" i="22"/>
  <c r="G10" i="22"/>
  <c r="G17" i="22"/>
  <c r="G11" i="22"/>
  <c r="G16" i="22"/>
  <c r="H4" i="22"/>
  <c r="H8" i="22" s="1"/>
  <c r="G20" i="22"/>
  <c r="G18" i="22"/>
  <c r="G12" i="22"/>
  <c r="G13" i="22"/>
  <c r="G32" i="48"/>
  <c r="B31" i="21"/>
  <c r="F32" i="48"/>
  <c r="I9" i="61"/>
  <c r="H174" i="84" s="1"/>
  <c r="G175" i="84"/>
  <c r="D7" i="62"/>
  <c r="G18" i="61"/>
  <c r="G53" i="61"/>
  <c r="I18" i="61"/>
  <c r="I53" i="61"/>
  <c r="F86" i="22"/>
  <c r="F10" i="62"/>
  <c r="G86" i="22"/>
  <c r="E86" i="22"/>
  <c r="C86" i="22"/>
  <c r="D86" i="22"/>
  <c r="C21" i="68"/>
  <c r="E53" i="61"/>
  <c r="E18" i="61"/>
  <c r="F113" i="57"/>
  <c r="D9" i="62" s="1"/>
  <c r="J53" i="61"/>
  <c r="J18" i="61"/>
  <c r="E175" i="84"/>
  <c r="G9" i="61"/>
  <c r="F174" i="84" s="1"/>
  <c r="B10" i="89"/>
  <c r="B15" i="89"/>
  <c r="B14" i="89"/>
  <c r="C10" i="89"/>
  <c r="C14" i="89"/>
  <c r="C15" i="89"/>
  <c r="D7" i="89"/>
  <c r="G31" i="48"/>
  <c r="D31" i="21"/>
  <c r="D31" i="85"/>
  <c r="H35" i="48"/>
  <c r="H52" i="48"/>
  <c r="I22" i="48"/>
  <c r="I33" i="48" s="1"/>
  <c r="H36" i="48"/>
  <c r="H29" i="48"/>
  <c r="F35" i="48"/>
  <c r="E27" i="48"/>
  <c r="G27" i="48"/>
  <c r="F27" i="48"/>
  <c r="H27" i="48"/>
  <c r="H28" i="48"/>
  <c r="E28" i="48"/>
  <c r="G28" i="48"/>
  <c r="F28" i="48"/>
  <c r="G35" i="48"/>
  <c r="H32" i="48"/>
  <c r="E35" i="48"/>
  <c r="H34" i="48"/>
  <c r="C31" i="85"/>
  <c r="C31" i="21"/>
  <c r="H31" i="48"/>
  <c r="F31" i="48"/>
  <c r="F33" i="48"/>
  <c r="H33" i="48"/>
  <c r="G33" i="48"/>
  <c r="C41" i="48"/>
  <c r="E42" i="48"/>
  <c r="H42" i="48"/>
  <c r="G42" i="48"/>
  <c r="F42" i="48"/>
  <c r="I42" i="48"/>
  <c r="E30" i="48"/>
  <c r="F30" i="48"/>
  <c r="G30" i="48"/>
  <c r="I30" i="48"/>
  <c r="H30" i="48"/>
  <c r="F75" i="86" l="1"/>
  <c r="F68" i="86"/>
  <c r="F5" i="62"/>
  <c r="C16" i="68"/>
  <c r="C37" i="22"/>
  <c r="H38" i="22" s="1"/>
  <c r="C28" i="85"/>
  <c r="C36" i="85" s="1"/>
  <c r="O22" i="87"/>
  <c r="N25" i="87"/>
  <c r="F143" i="72" s="1"/>
  <c r="F10" i="42"/>
  <c r="H21" i="42" s="1"/>
  <c r="H23" i="42" s="1"/>
  <c r="E10" i="85"/>
  <c r="E195" i="85" s="1"/>
  <c r="E10" i="21"/>
  <c r="H39" i="61"/>
  <c r="B36" i="21"/>
  <c r="C161" i="29" s="1"/>
  <c r="G139" i="72"/>
  <c r="C16" i="87"/>
  <c r="C15" i="87"/>
  <c r="C14" i="87"/>
  <c r="C13" i="87"/>
  <c r="C19" i="87" s="1"/>
  <c r="F140" i="72"/>
  <c r="D12" i="87"/>
  <c r="E193" i="55" s="1"/>
  <c r="F150" i="72"/>
  <c r="M27" i="87"/>
  <c r="E145" i="72" s="1"/>
  <c r="E12" i="87"/>
  <c r="M22" i="87"/>
  <c r="E157" i="72" s="1"/>
  <c r="L16" i="87"/>
  <c r="L13" i="87"/>
  <c r="L21" i="87"/>
  <c r="E140" i="72" s="1"/>
  <c r="D151" i="72"/>
  <c r="O21" i="87"/>
  <c r="G140" i="72" s="1"/>
  <c r="G151" i="72"/>
  <c r="E151" i="72"/>
  <c r="M26" i="87"/>
  <c r="E144" i="72" s="1"/>
  <c r="N27" i="87"/>
  <c r="F145" i="72" s="1"/>
  <c r="N22" i="87"/>
  <c r="G141" i="72" s="1"/>
  <c r="F152" i="72"/>
  <c r="F8" i="62"/>
  <c r="C61" i="22"/>
  <c r="H62" i="22" s="1"/>
  <c r="P16" i="87"/>
  <c r="P13" i="87"/>
  <c r="P25" i="87" s="1"/>
  <c r="P15" i="87"/>
  <c r="P26" i="87" s="1"/>
  <c r="R12" i="87"/>
  <c r="Q12" i="87"/>
  <c r="F139" i="72"/>
  <c r="G174" i="72"/>
  <c r="E29" i="85" s="1"/>
  <c r="E40" i="72"/>
  <c r="E47" i="72"/>
  <c r="E51" i="72"/>
  <c r="E38" i="72"/>
  <c r="E39" i="72"/>
  <c r="E50" i="72"/>
  <c r="E44" i="72"/>
  <c r="E42" i="72"/>
  <c r="E52" i="72"/>
  <c r="E53" i="72"/>
  <c r="E48" i="72"/>
  <c r="E54" i="72"/>
  <c r="E41" i="72"/>
  <c r="E45" i="72"/>
  <c r="E49" i="72"/>
  <c r="E55" i="72"/>
  <c r="E43" i="72"/>
  <c r="E46" i="72"/>
  <c r="H155" i="72"/>
  <c r="H170" i="72"/>
  <c r="H171" i="72"/>
  <c r="I133" i="72"/>
  <c r="H159" i="72"/>
  <c r="H153" i="72"/>
  <c r="H154" i="72"/>
  <c r="G33" i="72"/>
  <c r="F34" i="72"/>
  <c r="F35" i="72"/>
  <c r="F209" i="55"/>
  <c r="G204" i="55"/>
  <c r="H172" i="55"/>
  <c r="H8" i="87"/>
  <c r="G9" i="87"/>
  <c r="F10" i="87"/>
  <c r="G192" i="55"/>
  <c r="C17" i="68"/>
  <c r="F6" i="62"/>
  <c r="C43" i="22"/>
  <c r="I44" i="22" s="1"/>
  <c r="C35" i="21"/>
  <c r="C36" i="21" s="1"/>
  <c r="G23" i="22"/>
  <c r="H9" i="22"/>
  <c r="H12" i="22"/>
  <c r="H22" i="22"/>
  <c r="H14" i="22"/>
  <c r="I4" i="22"/>
  <c r="I8" i="22" s="1"/>
  <c r="H11" i="22"/>
  <c r="H19" i="22"/>
  <c r="H10" i="22"/>
  <c r="H13" i="22"/>
  <c r="H20" i="22"/>
  <c r="H18" i="22"/>
  <c r="H15" i="22"/>
  <c r="H21" i="22"/>
  <c r="H16" i="22"/>
  <c r="H17" i="22"/>
  <c r="E87" i="22"/>
  <c r="D43" i="85" s="1"/>
  <c r="D43" i="21"/>
  <c r="H175" i="84"/>
  <c r="H177" i="84" s="1"/>
  <c r="J9" i="61"/>
  <c r="I174" i="84" s="1"/>
  <c r="F175" i="84"/>
  <c r="F177" i="84" s="1"/>
  <c r="H9" i="61"/>
  <c r="G174" i="84" s="1"/>
  <c r="G177" i="84" s="1"/>
  <c r="F9" i="61"/>
  <c r="E174" i="84" s="1"/>
  <c r="E177" i="84" s="1"/>
  <c r="D175" i="84"/>
  <c r="D177" i="84" s="1"/>
  <c r="G87" i="22"/>
  <c r="F43" i="85" s="1"/>
  <c r="F43" i="21"/>
  <c r="K9" i="61"/>
  <c r="J174" i="84" s="1"/>
  <c r="J177" i="84" s="1"/>
  <c r="I175" i="84"/>
  <c r="D87" i="22"/>
  <c r="C43" i="85" s="1"/>
  <c r="C43" i="21"/>
  <c r="F9" i="62"/>
  <c r="C55" i="22"/>
  <c r="C20" i="68"/>
  <c r="C87" i="22"/>
  <c r="B43" i="85" s="1"/>
  <c r="B43" i="21"/>
  <c r="E43" i="21"/>
  <c r="F87" i="22"/>
  <c r="E43" i="85" s="1"/>
  <c r="F7" i="62"/>
  <c r="C49" i="22"/>
  <c r="C18" i="68"/>
  <c r="B16" i="89"/>
  <c r="B24" i="89"/>
  <c r="B32" i="89" s="1"/>
  <c r="C24" i="89"/>
  <c r="C32" i="89" s="1"/>
  <c r="C16" i="89"/>
  <c r="C18" i="89" s="1"/>
  <c r="B18" i="89"/>
  <c r="D10" i="89"/>
  <c r="I28" i="48"/>
  <c r="H37" i="48"/>
  <c r="H36" i="61" s="1"/>
  <c r="F37" i="48"/>
  <c r="C11" i="21" s="1"/>
  <c r="E37" i="48"/>
  <c r="B11" i="21" s="1"/>
  <c r="I36" i="48"/>
  <c r="J22" i="48"/>
  <c r="I52" i="48"/>
  <c r="I34" i="48"/>
  <c r="I32" i="48"/>
  <c r="I31" i="48"/>
  <c r="I29" i="48"/>
  <c r="G37" i="48"/>
  <c r="G36" i="61" s="1"/>
  <c r="I41" i="48"/>
  <c r="I47" i="48" s="1"/>
  <c r="F21" i="85" s="1"/>
  <c r="I27" i="48"/>
  <c r="E31" i="85"/>
  <c r="E31" i="21"/>
  <c r="I35" i="48"/>
  <c r="E41" i="48"/>
  <c r="E47" i="48" s="1"/>
  <c r="E53" i="48" s="1"/>
  <c r="G41" i="48"/>
  <c r="G47" i="48" s="1"/>
  <c r="F41" i="48"/>
  <c r="F47" i="48" s="1"/>
  <c r="C21" i="21" s="1"/>
  <c r="H41" i="48"/>
  <c r="H47" i="48" s="1"/>
  <c r="E21" i="21" s="1"/>
  <c r="E11" i="21"/>
  <c r="F193" i="55" l="1"/>
  <c r="E16" i="87"/>
  <c r="E38" i="22"/>
  <c r="I38" i="22"/>
  <c r="K37" i="22"/>
  <c r="K38" i="22" s="1"/>
  <c r="K39" i="22" s="1"/>
  <c r="D38" i="22"/>
  <c r="D62" i="22"/>
  <c r="G38" i="22"/>
  <c r="F38" i="22"/>
  <c r="C62" i="22"/>
  <c r="C63" i="22" s="1"/>
  <c r="C38" i="22"/>
  <c r="C39" i="22" s="1"/>
  <c r="F62" i="22"/>
  <c r="D191" i="55"/>
  <c r="C22" i="87"/>
  <c r="D189" i="55"/>
  <c r="C20" i="87"/>
  <c r="D190" i="55"/>
  <c r="C21" i="87"/>
  <c r="C146" i="29"/>
  <c r="C176" i="29"/>
  <c r="C131" i="29"/>
  <c r="C24" i="68"/>
  <c r="F158" i="72"/>
  <c r="D188" i="55"/>
  <c r="F141" i="72"/>
  <c r="F157" i="72"/>
  <c r="E29" i="21"/>
  <c r="F139" i="29"/>
  <c r="F169" i="29"/>
  <c r="F124" i="29"/>
  <c r="F154" i="29"/>
  <c r="F34" i="29"/>
  <c r="I39" i="61"/>
  <c r="F10" i="21"/>
  <c r="F10" i="85"/>
  <c r="F195" i="85" s="1"/>
  <c r="H47" i="42"/>
  <c r="G10" i="42"/>
  <c r="I21" i="42" s="1"/>
  <c r="I23" i="42" s="1"/>
  <c r="H10" i="42"/>
  <c r="J21" i="42" s="1"/>
  <c r="J23" i="42" s="1"/>
  <c r="E14" i="87"/>
  <c r="E20" i="87" s="1"/>
  <c r="E13" i="87"/>
  <c r="E19" i="87" s="1"/>
  <c r="E15" i="87"/>
  <c r="E21" i="87" s="1"/>
  <c r="E22" i="87"/>
  <c r="D140" i="72"/>
  <c r="F160" i="72"/>
  <c r="G17" i="61" s="1"/>
  <c r="H8" i="61" s="1"/>
  <c r="G164" i="72" s="1"/>
  <c r="D15" i="87"/>
  <c r="D21" i="87" s="1"/>
  <c r="D14" i="87"/>
  <c r="D20" i="87" s="1"/>
  <c r="D13" i="87"/>
  <c r="D19" i="87" s="1"/>
  <c r="D16" i="87"/>
  <c r="D22" i="87" s="1"/>
  <c r="F12" i="87"/>
  <c r="G193" i="55" s="1"/>
  <c r="E158" i="72"/>
  <c r="F17" i="61" s="1"/>
  <c r="G158" i="72"/>
  <c r="L25" i="87"/>
  <c r="D143" i="72" s="1"/>
  <c r="D150" i="72"/>
  <c r="L19" i="87"/>
  <c r="E160" i="72"/>
  <c r="G157" i="72"/>
  <c r="H151" i="72"/>
  <c r="G160" i="72"/>
  <c r="L27" i="87"/>
  <c r="D145" i="72" s="1"/>
  <c r="L22" i="87"/>
  <c r="D152" i="72"/>
  <c r="H152" i="72"/>
  <c r="P27" i="87"/>
  <c r="H145" i="72" s="1"/>
  <c r="K61" i="22"/>
  <c r="K62" i="22" s="1"/>
  <c r="K63" i="22" s="1"/>
  <c r="E62" i="22"/>
  <c r="G62" i="22"/>
  <c r="I62" i="22"/>
  <c r="C64" i="22"/>
  <c r="D61" i="22" s="1"/>
  <c r="F146" i="72"/>
  <c r="D9" i="21" s="1"/>
  <c r="H143" i="72"/>
  <c r="P19" i="87"/>
  <c r="Q16" i="87"/>
  <c r="Q27" i="87" s="1"/>
  <c r="Q15" i="87"/>
  <c r="Q26" i="87" s="1"/>
  <c r="Q13" i="87"/>
  <c r="Q25" i="87" s="1"/>
  <c r="R15" i="87"/>
  <c r="R26" i="87" s="1"/>
  <c r="R13" i="87"/>
  <c r="R25" i="87" s="1"/>
  <c r="R16" i="87"/>
  <c r="R27" i="87" s="1"/>
  <c r="P22" i="87"/>
  <c r="H141" i="72" s="1"/>
  <c r="H150" i="72"/>
  <c r="P21" i="87"/>
  <c r="H140" i="72" s="1"/>
  <c r="H144" i="72"/>
  <c r="H174" i="72"/>
  <c r="F29" i="21" s="1"/>
  <c r="E11" i="85"/>
  <c r="I170" i="72"/>
  <c r="I171" i="72"/>
  <c r="I159" i="72"/>
  <c r="I153" i="72"/>
  <c r="I150" i="72"/>
  <c r="J133" i="72"/>
  <c r="I155" i="72"/>
  <c r="I154" i="72"/>
  <c r="F42" i="72"/>
  <c r="F46" i="72"/>
  <c r="F49" i="72"/>
  <c r="F47" i="72"/>
  <c r="F43" i="72"/>
  <c r="F39" i="72"/>
  <c r="F41" i="72"/>
  <c r="F52" i="72"/>
  <c r="F50" i="72"/>
  <c r="F44" i="72"/>
  <c r="F48" i="72"/>
  <c r="F45" i="72"/>
  <c r="F38" i="72"/>
  <c r="F51" i="72"/>
  <c r="F53" i="72"/>
  <c r="F54" i="72"/>
  <c r="F55" i="72"/>
  <c r="F40" i="72"/>
  <c r="E63" i="72"/>
  <c r="E64" i="72"/>
  <c r="G34" i="72"/>
  <c r="H33" i="72"/>
  <c r="G35" i="72"/>
  <c r="E96" i="72"/>
  <c r="E95" i="72"/>
  <c r="E78" i="72"/>
  <c r="E79" i="72"/>
  <c r="E70" i="72"/>
  <c r="E71" i="72"/>
  <c r="I172" i="55"/>
  <c r="H204" i="55"/>
  <c r="G209" i="55"/>
  <c r="D28" i="85"/>
  <c r="D28" i="21"/>
  <c r="G51" i="61"/>
  <c r="H192" i="55"/>
  <c r="G10" i="87"/>
  <c r="I8" i="87"/>
  <c r="I9" i="87" s="1"/>
  <c r="H9" i="87"/>
  <c r="C44" i="22"/>
  <c r="C45" i="22" s="1"/>
  <c r="I177" i="84"/>
  <c r="G23" i="21" s="1"/>
  <c r="D44" i="22"/>
  <c r="H44" i="22"/>
  <c r="G44" i="22"/>
  <c r="E44" i="22"/>
  <c r="K43" i="22"/>
  <c r="K44" i="22" s="1"/>
  <c r="K45" i="22" s="1"/>
  <c r="F44" i="22"/>
  <c r="F12" i="62"/>
  <c r="C9" i="68" s="1"/>
  <c r="D176" i="29"/>
  <c r="D24" i="68"/>
  <c r="D146" i="29"/>
  <c r="D131" i="29"/>
  <c r="D161" i="29"/>
  <c r="H23" i="22"/>
  <c r="I9" i="22"/>
  <c r="I12" i="22"/>
  <c r="I18" i="22"/>
  <c r="I15" i="22"/>
  <c r="I17" i="22"/>
  <c r="I16" i="22"/>
  <c r="I22" i="22"/>
  <c r="I20" i="22"/>
  <c r="I10" i="22"/>
  <c r="I13" i="22"/>
  <c r="I21" i="22"/>
  <c r="I19" i="22"/>
  <c r="I14" i="22"/>
  <c r="J4" i="22"/>
  <c r="J8" i="22" s="1"/>
  <c r="I11" i="22"/>
  <c r="D35" i="21"/>
  <c r="D35" i="85"/>
  <c r="E49" i="61"/>
  <c r="D11" i="85"/>
  <c r="I53" i="48"/>
  <c r="E21" i="85"/>
  <c r="I49" i="61"/>
  <c r="F21" i="21"/>
  <c r="C21" i="85"/>
  <c r="H49" i="61"/>
  <c r="F36" i="61"/>
  <c r="C23" i="21"/>
  <c r="E186" i="84"/>
  <c r="E188" i="84" s="1"/>
  <c r="C23" i="85"/>
  <c r="E23" i="21"/>
  <c r="G186" i="84"/>
  <c r="G188" i="84" s="1"/>
  <c r="E23" i="85"/>
  <c r="G97" i="29"/>
  <c r="F61" i="29"/>
  <c r="G12" i="29"/>
  <c r="D258" i="85"/>
  <c r="C222" i="85"/>
  <c r="D173" i="85"/>
  <c r="C272" i="85"/>
  <c r="G61" i="29"/>
  <c r="H12" i="29"/>
  <c r="H97" i="29"/>
  <c r="D23" i="21"/>
  <c r="D23" i="85"/>
  <c r="F186" i="84"/>
  <c r="F188" i="84" s="1"/>
  <c r="K49" i="22"/>
  <c r="H50" i="22"/>
  <c r="F50" i="22"/>
  <c r="E50" i="22"/>
  <c r="D50" i="22"/>
  <c r="G50" i="22"/>
  <c r="I50" i="22"/>
  <c r="C50" i="22"/>
  <c r="C65" i="22"/>
  <c r="B13" i="69" s="1"/>
  <c r="D97" i="29"/>
  <c r="C61" i="29"/>
  <c r="D12" i="29"/>
  <c r="H23" i="21"/>
  <c r="H23" i="85"/>
  <c r="J186" i="84"/>
  <c r="J188" i="84" s="1"/>
  <c r="G258" i="85"/>
  <c r="F272" i="85"/>
  <c r="F222" i="85"/>
  <c r="G173" i="85"/>
  <c r="F23" i="21"/>
  <c r="F23" i="85"/>
  <c r="H186" i="84"/>
  <c r="H188" i="84" s="1"/>
  <c r="C258" i="85"/>
  <c r="B222" i="85"/>
  <c r="C173" i="85"/>
  <c r="B272" i="85"/>
  <c r="I56" i="22"/>
  <c r="K55" i="22"/>
  <c r="H56" i="22"/>
  <c r="F56" i="22"/>
  <c r="E56" i="22"/>
  <c r="D56" i="22"/>
  <c r="G56" i="22"/>
  <c r="C56" i="22"/>
  <c r="C57" i="22" s="1"/>
  <c r="B18" i="69"/>
  <c r="C18" i="69" s="1"/>
  <c r="D18" i="69" s="1"/>
  <c r="E18" i="69" s="1"/>
  <c r="F18" i="69" s="1"/>
  <c r="G18" i="69" s="1"/>
  <c r="H18" i="69" s="1"/>
  <c r="E61" i="29"/>
  <c r="F97" i="29"/>
  <c r="F12" i="29"/>
  <c r="F258" i="85"/>
  <c r="E222" i="85"/>
  <c r="F173" i="85"/>
  <c r="E272" i="85"/>
  <c r="D61" i="29"/>
  <c r="E97" i="29"/>
  <c r="E12" i="29"/>
  <c r="B23" i="21"/>
  <c r="D186" i="84"/>
  <c r="D188" i="84" s="1"/>
  <c r="B23" i="85"/>
  <c r="E258" i="85"/>
  <c r="D272" i="85"/>
  <c r="D222" i="85"/>
  <c r="E173" i="85"/>
  <c r="C34" i="89"/>
  <c r="D32" i="89"/>
  <c r="B34" i="89"/>
  <c r="D18" i="89"/>
  <c r="D24" i="89"/>
  <c r="C11" i="85"/>
  <c r="F53" i="48"/>
  <c r="F55" i="48" s="1"/>
  <c r="D11" i="21"/>
  <c r="E155" i="29" s="1"/>
  <c r="E55" i="48"/>
  <c r="I37" i="48"/>
  <c r="I36" i="61" s="1"/>
  <c r="F49" i="61"/>
  <c r="B21" i="85"/>
  <c r="E36" i="61"/>
  <c r="G49" i="61"/>
  <c r="D21" i="21"/>
  <c r="D21" i="85"/>
  <c r="G53" i="48"/>
  <c r="G55" i="48" s="1"/>
  <c r="K22" i="48"/>
  <c r="J36" i="48"/>
  <c r="J52" i="48"/>
  <c r="J31" i="48"/>
  <c r="J34" i="48"/>
  <c r="J32" i="48"/>
  <c r="J29" i="48"/>
  <c r="J35" i="48"/>
  <c r="J28" i="48"/>
  <c r="J33" i="48"/>
  <c r="J27" i="48"/>
  <c r="J42" i="48"/>
  <c r="J30" i="48"/>
  <c r="B21" i="21"/>
  <c r="H53" i="48"/>
  <c r="H55" i="48" s="1"/>
  <c r="B11" i="85"/>
  <c r="J41" i="48"/>
  <c r="F31" i="21"/>
  <c r="F31" i="85"/>
  <c r="E196" i="85"/>
  <c r="D155" i="29"/>
  <c r="D35" i="29"/>
  <c r="D170" i="29"/>
  <c r="D140" i="29"/>
  <c r="D125" i="29"/>
  <c r="D196" i="85"/>
  <c r="F35" i="29"/>
  <c r="F140" i="29"/>
  <c r="F170" i="29"/>
  <c r="F125" i="29"/>
  <c r="F155" i="29"/>
  <c r="B196" i="85"/>
  <c r="E125" i="29"/>
  <c r="C35" i="29"/>
  <c r="C140" i="29"/>
  <c r="C170" i="29"/>
  <c r="C155" i="29"/>
  <c r="C125" i="29"/>
  <c r="C46" i="22" l="1"/>
  <c r="D43" i="22" s="1"/>
  <c r="D46" i="22" s="1"/>
  <c r="E43" i="22" s="1"/>
  <c r="E46" i="22" s="1"/>
  <c r="F43" i="22" s="1"/>
  <c r="F46" i="22" s="1"/>
  <c r="G43" i="22" s="1"/>
  <c r="G46" i="22" s="1"/>
  <c r="H43" i="22" s="1"/>
  <c r="H46" i="22" s="1"/>
  <c r="I43" i="22" s="1"/>
  <c r="I46" i="22" s="1"/>
  <c r="D63" i="22"/>
  <c r="E63" i="22" s="1"/>
  <c r="F63" i="22" s="1"/>
  <c r="G63" i="22" s="1"/>
  <c r="H63" i="22" s="1"/>
  <c r="I63" i="22" s="1"/>
  <c r="D39" i="22"/>
  <c r="E39" i="22" s="1"/>
  <c r="F39" i="22" s="1"/>
  <c r="G39" i="22" s="1"/>
  <c r="H39" i="22" s="1"/>
  <c r="I39" i="22" s="1"/>
  <c r="D64" i="22"/>
  <c r="E61" i="22" s="1"/>
  <c r="K64" i="22"/>
  <c r="L61" i="22" s="1"/>
  <c r="L62" i="22" s="1"/>
  <c r="L63" i="22" s="1"/>
  <c r="C40" i="22"/>
  <c r="D37" i="22" s="1"/>
  <c r="D40" i="22" s="1"/>
  <c r="E37" i="22" s="1"/>
  <c r="E40" i="22" s="1"/>
  <c r="F37" i="22" s="1"/>
  <c r="F40" i="22" s="1"/>
  <c r="G37" i="22" s="1"/>
  <c r="G40" i="22" s="1"/>
  <c r="H37" i="22" s="1"/>
  <c r="H40" i="22" s="1"/>
  <c r="I37" i="22" s="1"/>
  <c r="I40" i="22" s="1"/>
  <c r="D178" i="55"/>
  <c r="D196" i="55"/>
  <c r="E188" i="55"/>
  <c r="F188" i="55"/>
  <c r="E181" i="55"/>
  <c r="E191" i="55"/>
  <c r="F190" i="55"/>
  <c r="D181" i="55"/>
  <c r="E179" i="55"/>
  <c r="E189" i="55"/>
  <c r="D179" i="55"/>
  <c r="F189" i="55"/>
  <c r="F51" i="61"/>
  <c r="D180" i="55"/>
  <c r="E190" i="55"/>
  <c r="F191" i="55"/>
  <c r="F29" i="85"/>
  <c r="I174" i="72"/>
  <c r="K39" i="61"/>
  <c r="H10" i="85"/>
  <c r="H195" i="85" s="1"/>
  <c r="H10" i="21"/>
  <c r="J47" i="42"/>
  <c r="G10" i="85"/>
  <c r="G195" i="85" s="1"/>
  <c r="G10" i="21"/>
  <c r="J39" i="61"/>
  <c r="I47" i="42"/>
  <c r="G154" i="29"/>
  <c r="G139" i="29"/>
  <c r="G169" i="29"/>
  <c r="G34" i="29"/>
  <c r="G124" i="29"/>
  <c r="F13" i="87"/>
  <c r="F19" i="87" s="1"/>
  <c r="F14" i="87"/>
  <c r="F20" i="87" s="1"/>
  <c r="F16" i="87"/>
  <c r="F22" i="87" s="1"/>
  <c r="F15" i="87"/>
  <c r="F21" i="87" s="1"/>
  <c r="G12" i="87"/>
  <c r="H193" i="55" s="1"/>
  <c r="D157" i="72"/>
  <c r="D139" i="72"/>
  <c r="D158" i="72"/>
  <c r="D160" i="72"/>
  <c r="E139" i="72"/>
  <c r="D141" i="72"/>
  <c r="E141" i="72"/>
  <c r="I152" i="72"/>
  <c r="D195" i="55"/>
  <c r="E64" i="22"/>
  <c r="F61" i="22" s="1"/>
  <c r="F64" i="22" s="1"/>
  <c r="G61" i="22" s="1"/>
  <c r="G64" i="22" s="1"/>
  <c r="H61" i="22" s="1"/>
  <c r="H64" i="22" s="1"/>
  <c r="I61" i="22" s="1"/>
  <c r="I64" i="22" s="1"/>
  <c r="D45" i="22"/>
  <c r="E45" i="22" s="1"/>
  <c r="F45" i="22" s="1"/>
  <c r="G45" i="22" s="1"/>
  <c r="H45" i="22" s="1"/>
  <c r="I45" i="22" s="1"/>
  <c r="I186" i="84"/>
  <c r="I188" i="84" s="1"/>
  <c r="G23" i="85"/>
  <c r="G38" i="61"/>
  <c r="D9" i="85"/>
  <c r="D194" i="85" s="1"/>
  <c r="F165" i="72"/>
  <c r="E138" i="29"/>
  <c r="E33" i="29"/>
  <c r="E180" i="55"/>
  <c r="Q21" i="87"/>
  <c r="I140" i="72" s="1"/>
  <c r="I144" i="72"/>
  <c r="I151" i="72"/>
  <c r="R21" i="87"/>
  <c r="I145" i="72"/>
  <c r="Q22" i="87"/>
  <c r="I141" i="72" s="1"/>
  <c r="R22" i="87"/>
  <c r="J145" i="72"/>
  <c r="Q19" i="87"/>
  <c r="I143" i="72"/>
  <c r="H160" i="72"/>
  <c r="H157" i="72"/>
  <c r="H158" i="72"/>
  <c r="H139" i="72"/>
  <c r="R19" i="87"/>
  <c r="G29" i="21"/>
  <c r="G29" i="85"/>
  <c r="G8" i="61"/>
  <c r="F164" i="72" s="1"/>
  <c r="E165" i="72"/>
  <c r="F79" i="72"/>
  <c r="F78" i="72"/>
  <c r="F95" i="72"/>
  <c r="F96" i="72"/>
  <c r="F63" i="72"/>
  <c r="F64" i="72"/>
  <c r="G38" i="72"/>
  <c r="G42" i="72"/>
  <c r="G46" i="72"/>
  <c r="G49" i="72"/>
  <c r="G51" i="72"/>
  <c r="G39" i="72"/>
  <c r="G43" i="72"/>
  <c r="G53" i="72"/>
  <c r="G55" i="72"/>
  <c r="G47" i="72"/>
  <c r="G50" i="72"/>
  <c r="G41" i="72"/>
  <c r="G45" i="72"/>
  <c r="G54" i="72"/>
  <c r="G48" i="72"/>
  <c r="G44" i="72"/>
  <c r="G52" i="72"/>
  <c r="G40" i="72"/>
  <c r="J171" i="72"/>
  <c r="J159" i="72"/>
  <c r="J153" i="72"/>
  <c r="J150" i="72"/>
  <c r="J155" i="72"/>
  <c r="J151" i="72"/>
  <c r="J152" i="72"/>
  <c r="J170" i="72"/>
  <c r="J144" i="72"/>
  <c r="J143" i="72"/>
  <c r="J154" i="72"/>
  <c r="H34" i="72"/>
  <c r="H35" i="72"/>
  <c r="F71" i="72"/>
  <c r="F70" i="72"/>
  <c r="E153" i="29"/>
  <c r="E168" i="29"/>
  <c r="E123" i="29"/>
  <c r="D36" i="85"/>
  <c r="H209" i="55"/>
  <c r="F28" i="85" s="1"/>
  <c r="D36" i="21"/>
  <c r="E176" i="29" s="1"/>
  <c r="E28" i="21"/>
  <c r="E28" i="85"/>
  <c r="J172" i="55"/>
  <c r="I204" i="55"/>
  <c r="I10" i="87"/>
  <c r="I192" i="55"/>
  <c r="H10" i="87"/>
  <c r="G146" i="72"/>
  <c r="K40" i="22"/>
  <c r="L37" i="22" s="1"/>
  <c r="L38" i="22" s="1"/>
  <c r="B34" i="69"/>
  <c r="C34" i="69" s="1"/>
  <c r="D34" i="69" s="1"/>
  <c r="E34" i="69" s="1"/>
  <c r="F34" i="69" s="1"/>
  <c r="G34" i="69" s="1"/>
  <c r="H34" i="69" s="1"/>
  <c r="C58" i="22"/>
  <c r="D55" i="22" s="1"/>
  <c r="D58" i="22" s="1"/>
  <c r="E55" i="22" s="1"/>
  <c r="E58" i="22" s="1"/>
  <c r="F55" i="22" s="1"/>
  <c r="F58" i="22" s="1"/>
  <c r="G55" i="22" s="1"/>
  <c r="G58" i="22" s="1"/>
  <c r="H55" i="22" s="1"/>
  <c r="H58" i="22" s="1"/>
  <c r="I55" i="22" s="1"/>
  <c r="I58" i="22" s="1"/>
  <c r="D57" i="22"/>
  <c r="E57" i="22" s="1"/>
  <c r="F57" i="22" s="1"/>
  <c r="G57" i="22" s="1"/>
  <c r="H57" i="22" s="1"/>
  <c r="I57" i="22" s="1"/>
  <c r="J10" i="22"/>
  <c r="J13" i="22"/>
  <c r="J20" i="22"/>
  <c r="J16" i="22"/>
  <c r="J18" i="22"/>
  <c r="J12" i="22"/>
  <c r="J19" i="22"/>
  <c r="J14" i="22"/>
  <c r="J15" i="22"/>
  <c r="J22" i="22"/>
  <c r="J21" i="22"/>
  <c r="J11" i="22"/>
  <c r="K4" i="22"/>
  <c r="K8" i="22" s="1"/>
  <c r="J9" i="22"/>
  <c r="J17" i="22"/>
  <c r="I23" i="22"/>
  <c r="E35" i="21"/>
  <c r="E35" i="85"/>
  <c r="C196" i="85"/>
  <c r="E140" i="29"/>
  <c r="E170" i="29"/>
  <c r="G66" i="22"/>
  <c r="H66" i="22"/>
  <c r="K56" i="22"/>
  <c r="K57" i="22" s="1"/>
  <c r="C66" i="22"/>
  <c r="C51" i="22"/>
  <c r="D66" i="22"/>
  <c r="K50" i="22"/>
  <c r="K65" i="22"/>
  <c r="C52" i="22"/>
  <c r="E66" i="22"/>
  <c r="K46" i="22"/>
  <c r="L43" i="22" s="1"/>
  <c r="I66" i="22"/>
  <c r="F66" i="22"/>
  <c r="D34" i="89"/>
  <c r="E35" i="29"/>
  <c r="F11" i="21"/>
  <c r="G140" i="29" s="1"/>
  <c r="I55" i="48"/>
  <c r="F11" i="85"/>
  <c r="K52" i="48"/>
  <c r="K36" i="48"/>
  <c r="K29" i="48"/>
  <c r="K32" i="48"/>
  <c r="K31" i="48"/>
  <c r="K34" i="48"/>
  <c r="K35" i="48"/>
  <c r="K30" i="48"/>
  <c r="K42" i="48"/>
  <c r="K27" i="48"/>
  <c r="K28" i="48"/>
  <c r="K33" i="48"/>
  <c r="K41" i="48"/>
  <c r="K47" i="48" s="1"/>
  <c r="J47" i="48"/>
  <c r="G31" i="21"/>
  <c r="G31" i="85"/>
  <c r="J37" i="48"/>
  <c r="E50" i="61" l="1"/>
  <c r="J174" i="72"/>
  <c r="G179" i="55"/>
  <c r="G189" i="55"/>
  <c r="E196" i="55"/>
  <c r="G188" i="55"/>
  <c r="G180" i="55"/>
  <c r="G190" i="55"/>
  <c r="F196" i="55"/>
  <c r="G191" i="55"/>
  <c r="D184" i="55"/>
  <c r="B8" i="21" s="1"/>
  <c r="C32" i="29" s="1"/>
  <c r="I139" i="29"/>
  <c r="I154" i="29"/>
  <c r="I124" i="29"/>
  <c r="I169" i="29"/>
  <c r="I34" i="29"/>
  <c r="H154" i="29"/>
  <c r="H169" i="29"/>
  <c r="H34" i="29"/>
  <c r="H139" i="29"/>
  <c r="H124" i="29"/>
  <c r="G16" i="87"/>
  <c r="G22" i="87" s="1"/>
  <c r="G15" i="87"/>
  <c r="G21" i="87" s="1"/>
  <c r="G13" i="87"/>
  <c r="G19" i="87" s="1"/>
  <c r="G14" i="87"/>
  <c r="G20" i="87" s="1"/>
  <c r="I12" i="87"/>
  <c r="J193" i="55" s="1"/>
  <c r="H12" i="87"/>
  <c r="I193" i="55" s="1"/>
  <c r="F181" i="55"/>
  <c r="E16" i="61"/>
  <c r="D200" i="55" s="1"/>
  <c r="D202" i="55" s="1"/>
  <c r="D210" i="55" s="1"/>
  <c r="D146" i="72"/>
  <c r="J139" i="72"/>
  <c r="E146" i="72"/>
  <c r="E17" i="61"/>
  <c r="E51" i="61"/>
  <c r="F179" i="55"/>
  <c r="F167" i="72"/>
  <c r="D19" i="21" s="1"/>
  <c r="E24" i="68"/>
  <c r="J158" i="72"/>
  <c r="F180" i="55"/>
  <c r="J141" i="72"/>
  <c r="J160" i="72"/>
  <c r="J157" i="72"/>
  <c r="E178" i="55"/>
  <c r="E195" i="55"/>
  <c r="G178" i="55"/>
  <c r="G181" i="55"/>
  <c r="F195" i="55"/>
  <c r="F178" i="55"/>
  <c r="J140" i="72"/>
  <c r="I139" i="72"/>
  <c r="I158" i="72"/>
  <c r="I160" i="72"/>
  <c r="I157" i="72"/>
  <c r="H29" i="21"/>
  <c r="H29" i="85"/>
  <c r="G155" i="29"/>
  <c r="E131" i="29"/>
  <c r="E161" i="29"/>
  <c r="H40" i="72"/>
  <c r="H47" i="72"/>
  <c r="H52" i="72"/>
  <c r="H39" i="72"/>
  <c r="H38" i="72"/>
  <c r="H51" i="72"/>
  <c r="H42" i="72"/>
  <c r="H49" i="72"/>
  <c r="H41" i="72"/>
  <c r="H54" i="72"/>
  <c r="H50" i="72"/>
  <c r="H53" i="72"/>
  <c r="H48" i="72"/>
  <c r="H44" i="72"/>
  <c r="H46" i="72"/>
  <c r="H45" i="72"/>
  <c r="H43" i="72"/>
  <c r="H55" i="72"/>
  <c r="G63" i="72"/>
  <c r="G64" i="72"/>
  <c r="G95" i="72"/>
  <c r="G96" i="72"/>
  <c r="E146" i="29"/>
  <c r="G70" i="72"/>
  <c r="G71" i="72"/>
  <c r="G78" i="72"/>
  <c r="G79" i="72"/>
  <c r="E36" i="85"/>
  <c r="F28" i="21"/>
  <c r="J192" i="55"/>
  <c r="E36" i="21"/>
  <c r="F131" i="29" s="1"/>
  <c r="I209" i="55"/>
  <c r="J204" i="55"/>
  <c r="H17" i="61"/>
  <c r="H51" i="61"/>
  <c r="E9" i="85"/>
  <c r="E194" i="85" s="1"/>
  <c r="H38" i="61"/>
  <c r="E9" i="21"/>
  <c r="H146" i="72"/>
  <c r="L40" i="22"/>
  <c r="M37" i="22" s="1"/>
  <c r="M38" i="22" s="1"/>
  <c r="M40" i="22" s="1"/>
  <c r="N37" i="22" s="1"/>
  <c r="L39" i="22"/>
  <c r="F35" i="21"/>
  <c r="F35" i="85"/>
  <c r="F36" i="85" s="1"/>
  <c r="J23" i="22"/>
  <c r="K14" i="22"/>
  <c r="K15" i="22"/>
  <c r="K21" i="22"/>
  <c r="K9" i="22"/>
  <c r="K19" i="22"/>
  <c r="K13" i="22"/>
  <c r="K20" i="22"/>
  <c r="K18" i="22"/>
  <c r="K11" i="22"/>
  <c r="K16" i="22"/>
  <c r="K17" i="22"/>
  <c r="K12" i="22"/>
  <c r="K22" i="22"/>
  <c r="K10" i="22"/>
  <c r="K58" i="22"/>
  <c r="L55" i="22" s="1"/>
  <c r="L56" i="22" s="1"/>
  <c r="L58" i="22" s="1"/>
  <c r="M55" i="22" s="1"/>
  <c r="G170" i="29"/>
  <c r="D42" i="21"/>
  <c r="D42" i="85"/>
  <c r="D14" i="69"/>
  <c r="K66" i="22"/>
  <c r="K51" i="22"/>
  <c r="L64" i="22"/>
  <c r="M61" i="22" s="1"/>
  <c r="E42" i="21"/>
  <c r="E14" i="69"/>
  <c r="E42" i="85"/>
  <c r="D49" i="22"/>
  <c r="C68" i="22"/>
  <c r="C42" i="21"/>
  <c r="C14" i="69"/>
  <c r="C42" i="85"/>
  <c r="G42" i="21"/>
  <c r="G14" i="69"/>
  <c r="G42" i="85"/>
  <c r="H42" i="21"/>
  <c r="H42" i="85"/>
  <c r="H14" i="69"/>
  <c r="D51" i="22"/>
  <c r="C67" i="22"/>
  <c r="F42" i="21"/>
  <c r="F42" i="85"/>
  <c r="F14" i="69"/>
  <c r="L44" i="22"/>
  <c r="L45" i="22" s="1"/>
  <c r="K52" i="22"/>
  <c r="B42" i="85"/>
  <c r="B42" i="21"/>
  <c r="B14" i="69"/>
  <c r="B15" i="69" s="1"/>
  <c r="G125" i="29"/>
  <c r="G35" i="29"/>
  <c r="F196" i="85"/>
  <c r="H21" i="21"/>
  <c r="K49" i="61"/>
  <c r="K53" i="48"/>
  <c r="H21" i="85"/>
  <c r="J53" i="48"/>
  <c r="J55" i="48" s="1"/>
  <c r="G21" i="85"/>
  <c r="G21" i="21"/>
  <c r="J49" i="61"/>
  <c r="K37" i="48"/>
  <c r="H31" i="21"/>
  <c r="H31" i="85"/>
  <c r="J36" i="61"/>
  <c r="G11" i="21"/>
  <c r="G11" i="85"/>
  <c r="F36" i="21" l="1"/>
  <c r="G131" i="29" s="1"/>
  <c r="E55" i="61"/>
  <c r="B25" i="69" s="1"/>
  <c r="C12" i="68" s="1"/>
  <c r="E37" i="61"/>
  <c r="C137" i="29"/>
  <c r="C122" i="29"/>
  <c r="H181" i="55"/>
  <c r="H191" i="55"/>
  <c r="D213" i="55"/>
  <c r="H189" i="55"/>
  <c r="G196" i="55"/>
  <c r="H180" i="55"/>
  <c r="H190" i="55"/>
  <c r="C167" i="29"/>
  <c r="C152" i="29"/>
  <c r="B8" i="85"/>
  <c r="B193" i="85" s="1"/>
  <c r="H188" i="55"/>
  <c r="F184" i="55"/>
  <c r="D8" i="85" s="1"/>
  <c r="D193" i="85" s="1"/>
  <c r="D200" i="85" s="1"/>
  <c r="G184" i="55"/>
  <c r="H37" i="61" s="1"/>
  <c r="H42" i="61" s="1"/>
  <c r="E9" i="69" s="1"/>
  <c r="E184" i="55"/>
  <c r="F37" i="61" s="1"/>
  <c r="I14" i="87"/>
  <c r="I20" i="87" s="1"/>
  <c r="I13" i="87"/>
  <c r="I19" i="87" s="1"/>
  <c r="I16" i="87"/>
  <c r="I22" i="87" s="1"/>
  <c r="I15" i="87"/>
  <c r="I21" i="87" s="1"/>
  <c r="H15" i="87"/>
  <c r="H21" i="87" s="1"/>
  <c r="H16" i="87"/>
  <c r="H22" i="87" s="1"/>
  <c r="H14" i="87"/>
  <c r="H20" i="87" s="1"/>
  <c r="H13" i="87"/>
  <c r="H19" i="87" s="1"/>
  <c r="F7" i="61"/>
  <c r="F38" i="61"/>
  <c r="C9" i="21"/>
  <c r="C9" i="85"/>
  <c r="C194" i="85" s="1"/>
  <c r="B9" i="21"/>
  <c r="E38" i="61"/>
  <c r="B9" i="85"/>
  <c r="D165" i="72"/>
  <c r="D167" i="72" s="1"/>
  <c r="F8" i="61"/>
  <c r="E164" i="72" s="1"/>
  <c r="E167" i="72" s="1"/>
  <c r="C19" i="85" s="1"/>
  <c r="E21" i="61"/>
  <c r="G195" i="55"/>
  <c r="H179" i="55"/>
  <c r="F175" i="72"/>
  <c r="F177" i="72" s="1"/>
  <c r="D19" i="85"/>
  <c r="F161" i="29"/>
  <c r="B18" i="21"/>
  <c r="B18" i="85"/>
  <c r="J146" i="72"/>
  <c r="H9" i="21" s="1"/>
  <c r="F50" i="61"/>
  <c r="F55" i="61" s="1"/>
  <c r="C25" i="69" s="1"/>
  <c r="D12" i="68" s="1"/>
  <c r="G50" i="61"/>
  <c r="G55" i="61" s="1"/>
  <c r="D25" i="69" s="1"/>
  <c r="F16" i="61"/>
  <c r="G16" i="61"/>
  <c r="H7" i="61" s="1"/>
  <c r="F176" i="29"/>
  <c r="F146" i="29"/>
  <c r="I8" i="61"/>
  <c r="H164" i="72" s="1"/>
  <c r="G165" i="72"/>
  <c r="G167" i="72" s="1"/>
  <c r="F24" i="68"/>
  <c r="H95" i="72"/>
  <c r="H96" i="72"/>
  <c r="H78" i="72"/>
  <c r="H79" i="72"/>
  <c r="H63" i="72"/>
  <c r="H64" i="72"/>
  <c r="H70" i="72"/>
  <c r="H71" i="72"/>
  <c r="J209" i="55"/>
  <c r="G28" i="21"/>
  <c r="G28" i="85"/>
  <c r="F9" i="21"/>
  <c r="I38" i="61"/>
  <c r="F9" i="85"/>
  <c r="F194" i="85" s="1"/>
  <c r="K51" i="61"/>
  <c r="K17" i="61"/>
  <c r="J165" i="72" s="1"/>
  <c r="I146" i="72"/>
  <c r="I17" i="61"/>
  <c r="I51" i="61"/>
  <c r="F123" i="29"/>
  <c r="F153" i="29"/>
  <c r="F138" i="29"/>
  <c r="F33" i="29"/>
  <c r="F168" i="29"/>
  <c r="L57" i="22"/>
  <c r="M39" i="22"/>
  <c r="G24" i="68"/>
  <c r="K23" i="22"/>
  <c r="G35" i="21"/>
  <c r="G35" i="85"/>
  <c r="N38" i="22"/>
  <c r="N40" i="22" s="1"/>
  <c r="O37" i="22" s="1"/>
  <c r="M56" i="22"/>
  <c r="H221" i="85"/>
  <c r="I172" i="85"/>
  <c r="H271" i="85"/>
  <c r="I257" i="85"/>
  <c r="H58" i="85"/>
  <c r="F96" i="22"/>
  <c r="H11" i="29"/>
  <c r="G60" i="29"/>
  <c r="H96" i="29"/>
  <c r="G45" i="29"/>
  <c r="E51" i="22"/>
  <c r="D67" i="22"/>
  <c r="C271" i="85"/>
  <c r="C58" i="85"/>
  <c r="D257" i="85"/>
  <c r="C221" i="85"/>
  <c r="D172" i="85"/>
  <c r="C206" i="85"/>
  <c r="D65" i="22"/>
  <c r="C13" i="69" s="1"/>
  <c r="C15" i="69" s="1"/>
  <c r="D52" i="22"/>
  <c r="E96" i="22"/>
  <c r="F60" i="29"/>
  <c r="G96" i="29"/>
  <c r="G11" i="29"/>
  <c r="F45" i="29"/>
  <c r="K67" i="22"/>
  <c r="B96" i="22"/>
  <c r="D96" i="29"/>
  <c r="C60" i="29"/>
  <c r="D11" i="29"/>
  <c r="C45" i="29"/>
  <c r="B271" i="85"/>
  <c r="B58" i="85"/>
  <c r="B221" i="85"/>
  <c r="C172" i="85"/>
  <c r="C257" i="85"/>
  <c r="B206" i="85"/>
  <c r="L46" i="22"/>
  <c r="M43" i="22" s="1"/>
  <c r="I60" i="29"/>
  <c r="H96" i="22"/>
  <c r="J96" i="29"/>
  <c r="J11" i="29"/>
  <c r="C96" i="22"/>
  <c r="E96" i="29"/>
  <c r="E11" i="29"/>
  <c r="D60" i="29"/>
  <c r="D45" i="29"/>
  <c r="B97" i="22"/>
  <c r="B59" i="85"/>
  <c r="D271" i="85"/>
  <c r="D58" i="85"/>
  <c r="D221" i="85"/>
  <c r="E172" i="85"/>
  <c r="E257" i="85"/>
  <c r="D206" i="85"/>
  <c r="G271" i="85"/>
  <c r="G221" i="85"/>
  <c r="H257" i="85"/>
  <c r="G58" i="85"/>
  <c r="H172" i="85"/>
  <c r="L49" i="22"/>
  <c r="K68" i="22"/>
  <c r="F271" i="85"/>
  <c r="F58" i="85"/>
  <c r="F221" i="85"/>
  <c r="G172" i="85"/>
  <c r="G257" i="85"/>
  <c r="F206" i="85"/>
  <c r="G96" i="22"/>
  <c r="I11" i="29"/>
  <c r="I96" i="29"/>
  <c r="H60" i="29"/>
  <c r="E271" i="85"/>
  <c r="E58" i="85"/>
  <c r="F257" i="85"/>
  <c r="E221" i="85"/>
  <c r="F172" i="85"/>
  <c r="E206" i="85"/>
  <c r="M62" i="22"/>
  <c r="M63" i="22" s="1"/>
  <c r="D96" i="22"/>
  <c r="F11" i="29"/>
  <c r="E60" i="29"/>
  <c r="F96" i="29"/>
  <c r="E45" i="29"/>
  <c r="G196" i="85"/>
  <c r="H155" i="29"/>
  <c r="H125" i="29"/>
  <c r="H170" i="29"/>
  <c r="H35" i="29"/>
  <c r="H140" i="29"/>
  <c r="H11" i="85"/>
  <c r="H11" i="21"/>
  <c r="K36" i="61"/>
  <c r="K55" i="48"/>
  <c r="G176" i="29" l="1"/>
  <c r="E175" i="72"/>
  <c r="E177" i="72" s="1"/>
  <c r="G161" i="29"/>
  <c r="G146" i="29"/>
  <c r="E42" i="61"/>
  <c r="B9" i="69" s="1"/>
  <c r="C31" i="68" s="1"/>
  <c r="C8" i="21"/>
  <c r="D137" i="29" s="1"/>
  <c r="C8" i="85"/>
  <c r="C193" i="85" s="1"/>
  <c r="C200" i="85" s="1"/>
  <c r="H50" i="61"/>
  <c r="H55" i="61" s="1"/>
  <c r="E25" i="69" s="1"/>
  <c r="F12" i="68" s="1"/>
  <c r="I191" i="55"/>
  <c r="I180" i="55"/>
  <c r="I190" i="55"/>
  <c r="J189" i="55"/>
  <c r="J188" i="55"/>
  <c r="I188" i="55"/>
  <c r="J180" i="55"/>
  <c r="J190" i="55"/>
  <c r="I189" i="55"/>
  <c r="J191" i="55"/>
  <c r="H196" i="55"/>
  <c r="H178" i="55"/>
  <c r="H184" i="55" s="1"/>
  <c r="F8" i="21" s="1"/>
  <c r="G32" i="29" s="1"/>
  <c r="C19" i="21"/>
  <c r="F12" i="61"/>
  <c r="F42" i="61"/>
  <c r="C9" i="69" s="1"/>
  <c r="E199" i="55"/>
  <c r="D8" i="21"/>
  <c r="E152" i="29" s="1"/>
  <c r="E159" i="29" s="1"/>
  <c r="G37" i="61"/>
  <c r="G42" i="61" s="1"/>
  <c r="D9" i="69" s="1"/>
  <c r="D15" i="85"/>
  <c r="I181" i="55"/>
  <c r="H16" i="61"/>
  <c r="I7" i="61" s="1"/>
  <c r="I12" i="61" s="1"/>
  <c r="B19" i="85"/>
  <c r="B25" i="85" s="1"/>
  <c r="B38" i="85" s="1"/>
  <c r="D175" i="72"/>
  <c r="D177" i="72" s="1"/>
  <c r="B19" i="21"/>
  <c r="B25" i="21" s="1"/>
  <c r="C162" i="29" s="1"/>
  <c r="C163" i="29" s="1"/>
  <c r="B194" i="85"/>
  <c r="B200" i="85" s="1"/>
  <c r="B15" i="85"/>
  <c r="D168" i="29"/>
  <c r="D123" i="29"/>
  <c r="D153" i="29"/>
  <c r="D33" i="29"/>
  <c r="D138" i="29"/>
  <c r="D144" i="29" s="1"/>
  <c r="I178" i="55"/>
  <c r="B10" i="69"/>
  <c r="C32" i="68" s="1"/>
  <c r="E43" i="61"/>
  <c r="C123" i="29"/>
  <c r="C129" i="29" s="1"/>
  <c r="C33" i="29"/>
  <c r="C39" i="29" s="1"/>
  <c r="C138" i="29"/>
  <c r="C144" i="29" s="1"/>
  <c r="C153" i="29"/>
  <c r="C159" i="29" s="1"/>
  <c r="C168" i="29"/>
  <c r="C174" i="29" s="1"/>
  <c r="B15" i="21"/>
  <c r="C6" i="68" s="1"/>
  <c r="H195" i="55"/>
  <c r="I179" i="55"/>
  <c r="E8" i="85"/>
  <c r="E193" i="85" s="1"/>
  <c r="E200" i="85" s="1"/>
  <c r="E8" i="21"/>
  <c r="F152" i="29" s="1"/>
  <c r="F159" i="29" s="1"/>
  <c r="M57" i="22"/>
  <c r="H9" i="85"/>
  <c r="H194" i="85" s="1"/>
  <c r="E12" i="68"/>
  <c r="K38" i="61"/>
  <c r="G36" i="21"/>
  <c r="H131" i="29" s="1"/>
  <c r="G36" i="85"/>
  <c r="G206" i="85" s="1"/>
  <c r="C15" i="21"/>
  <c r="D6" i="68" s="1"/>
  <c r="D167" i="29"/>
  <c r="D174" i="29" s="1"/>
  <c r="D32" i="29"/>
  <c r="F200" i="55"/>
  <c r="G21" i="61"/>
  <c r="D10" i="69" s="1"/>
  <c r="G7" i="61"/>
  <c r="F21" i="61"/>
  <c r="E200" i="55"/>
  <c r="H12" i="61"/>
  <c r="G199" i="55"/>
  <c r="G175" i="72"/>
  <c r="G177" i="72" s="1"/>
  <c r="E19" i="85"/>
  <c r="E19" i="21"/>
  <c r="J8" i="61"/>
  <c r="I164" i="72" s="1"/>
  <c r="H165" i="72"/>
  <c r="H167" i="72" s="1"/>
  <c r="H28" i="21"/>
  <c r="H28" i="85"/>
  <c r="G9" i="21"/>
  <c r="J38" i="61"/>
  <c r="G9" i="85"/>
  <c r="G194" i="85" s="1"/>
  <c r="J17" i="61"/>
  <c r="J51" i="61"/>
  <c r="G153" i="29"/>
  <c r="G138" i="29"/>
  <c r="G123" i="29"/>
  <c r="G33" i="29"/>
  <c r="G168" i="29"/>
  <c r="I168" i="29"/>
  <c r="I33" i="29"/>
  <c r="I123" i="29"/>
  <c r="I153" i="29"/>
  <c r="I138" i="29"/>
  <c r="N39" i="22"/>
  <c r="H35" i="21"/>
  <c r="H35" i="85"/>
  <c r="M58" i="22"/>
  <c r="N55" i="22" s="1"/>
  <c r="E67" i="22"/>
  <c r="F51" i="22"/>
  <c r="M64" i="22"/>
  <c r="N61" i="22" s="1"/>
  <c r="L50" i="22"/>
  <c r="L65" i="22"/>
  <c r="M44" i="22"/>
  <c r="M45" i="22" s="1"/>
  <c r="O38" i="22"/>
  <c r="E49" i="22"/>
  <c r="D68" i="22"/>
  <c r="I155" i="29"/>
  <c r="I35" i="29"/>
  <c r="I170" i="29"/>
  <c r="I125" i="29"/>
  <c r="I140" i="29"/>
  <c r="H196" i="85"/>
  <c r="D31" i="68" l="1"/>
  <c r="E45" i="61"/>
  <c r="E56" i="61" s="1"/>
  <c r="E57" i="61" s="1"/>
  <c r="B24" i="69" s="1"/>
  <c r="D122" i="29"/>
  <c r="D129" i="29" s="1"/>
  <c r="D152" i="29"/>
  <c r="D159" i="29" s="1"/>
  <c r="E122" i="29"/>
  <c r="E129" i="29" s="1"/>
  <c r="C15" i="85"/>
  <c r="E167" i="29"/>
  <c r="E174" i="29" s="1"/>
  <c r="H199" i="55"/>
  <c r="E137" i="29"/>
  <c r="E144" i="29" s="1"/>
  <c r="D15" i="21"/>
  <c r="E6" i="68" s="1"/>
  <c r="E32" i="29"/>
  <c r="E39" i="29" s="1"/>
  <c r="I16" i="61"/>
  <c r="H200" i="55" s="1"/>
  <c r="J181" i="55"/>
  <c r="J196" i="55"/>
  <c r="J178" i="55"/>
  <c r="I196" i="55"/>
  <c r="E31" i="68"/>
  <c r="I184" i="55"/>
  <c r="J37" i="61" s="1"/>
  <c r="J42" i="61" s="1"/>
  <c r="I50" i="61"/>
  <c r="I55" i="61" s="1"/>
  <c r="F25" i="69" s="1"/>
  <c r="G12" i="68" s="1"/>
  <c r="C147" i="29"/>
  <c r="C148" i="29" s="1"/>
  <c r="C149" i="29" s="1"/>
  <c r="C177" i="29"/>
  <c r="C178" i="29" s="1"/>
  <c r="C179" i="29" s="1"/>
  <c r="C41" i="29"/>
  <c r="C43" i="29" s="1"/>
  <c r="C47" i="29" s="1"/>
  <c r="E202" i="55"/>
  <c r="C18" i="21" s="1"/>
  <c r="C25" i="21" s="1"/>
  <c r="H21" i="61"/>
  <c r="E10" i="69" s="1"/>
  <c r="F32" i="68" s="1"/>
  <c r="E15" i="85"/>
  <c r="F31" i="68"/>
  <c r="B40" i="85"/>
  <c r="B270" i="85" s="1"/>
  <c r="F15" i="21"/>
  <c r="G6" i="68" s="1"/>
  <c r="G167" i="29"/>
  <c r="G174" i="29" s="1"/>
  <c r="I37" i="61"/>
  <c r="I42" i="61" s="1"/>
  <c r="F9" i="69" s="1"/>
  <c r="G31" i="68" s="1"/>
  <c r="G39" i="29"/>
  <c r="F8" i="85"/>
  <c r="F193" i="85" s="1"/>
  <c r="F200" i="85" s="1"/>
  <c r="G152" i="29"/>
  <c r="G159" i="29" s="1"/>
  <c r="G122" i="29"/>
  <c r="G129" i="29" s="1"/>
  <c r="G137" i="29"/>
  <c r="G144" i="29" s="1"/>
  <c r="G200" i="55"/>
  <c r="G202" i="55" s="1"/>
  <c r="G210" i="55" s="1"/>
  <c r="G213" i="55" s="1"/>
  <c r="C132" i="29"/>
  <c r="C133" i="29" s="1"/>
  <c r="C134" i="29" s="1"/>
  <c r="C23" i="68"/>
  <c r="B38" i="21"/>
  <c r="B40" i="21" s="1"/>
  <c r="C109" i="29" s="1"/>
  <c r="I195" i="55"/>
  <c r="B202" i="85"/>
  <c r="B204" i="85" s="1"/>
  <c r="B208" i="85" s="1"/>
  <c r="C164" i="29"/>
  <c r="D39" i="29"/>
  <c r="J179" i="55"/>
  <c r="J195" i="55"/>
  <c r="F137" i="29"/>
  <c r="F144" i="29" s="1"/>
  <c r="F167" i="29"/>
  <c r="F174" i="29" s="1"/>
  <c r="F122" i="29"/>
  <c r="F129" i="29" s="1"/>
  <c r="F32" i="29"/>
  <c r="F39" i="29" s="1"/>
  <c r="E15" i="21"/>
  <c r="F6" i="68" s="1"/>
  <c r="H161" i="29"/>
  <c r="H146" i="29"/>
  <c r="H24" i="68"/>
  <c r="H176" i="29"/>
  <c r="H45" i="29"/>
  <c r="G43" i="61"/>
  <c r="G45" i="61" s="1"/>
  <c r="G56" i="61" s="1"/>
  <c r="D24" i="69" s="1"/>
  <c r="E29" i="68" s="1"/>
  <c r="F43" i="61"/>
  <c r="F45" i="61" s="1"/>
  <c r="F56" i="61" s="1"/>
  <c r="C24" i="69" s="1"/>
  <c r="C10" i="69"/>
  <c r="D32" i="68" s="1"/>
  <c r="G12" i="61"/>
  <c r="F199" i="55"/>
  <c r="F202" i="55" s="1"/>
  <c r="K8" i="61"/>
  <c r="J164" i="72" s="1"/>
  <c r="J167" i="72" s="1"/>
  <c r="I165" i="72"/>
  <c r="I167" i="72" s="1"/>
  <c r="H175" i="72"/>
  <c r="H177" i="72" s="1"/>
  <c r="F19" i="21"/>
  <c r="F19" i="85"/>
  <c r="H36" i="21"/>
  <c r="I131" i="29" s="1"/>
  <c r="H36" i="85"/>
  <c r="H206" i="85" s="1"/>
  <c r="H123" i="29"/>
  <c r="H168" i="29"/>
  <c r="H138" i="29"/>
  <c r="H153" i="29"/>
  <c r="H33" i="29"/>
  <c r="O39" i="22"/>
  <c r="F74" i="86"/>
  <c r="O40" i="22"/>
  <c r="P37" i="22" s="1"/>
  <c r="P38" i="22" s="1"/>
  <c r="E52" i="22"/>
  <c r="E65" i="22"/>
  <c r="D13" i="69" s="1"/>
  <c r="D15" i="69" s="1"/>
  <c r="L66" i="22"/>
  <c r="L51" i="22"/>
  <c r="N56" i="22"/>
  <c r="N57" i="22" s="1"/>
  <c r="M46" i="22"/>
  <c r="N43" i="22" s="1"/>
  <c r="N62" i="22"/>
  <c r="N63" i="22" s="1"/>
  <c r="G51" i="22"/>
  <c r="F67" i="22"/>
  <c r="L52" i="22"/>
  <c r="I21" i="61" l="1"/>
  <c r="F10" i="69" s="1"/>
  <c r="G32" i="68" s="1"/>
  <c r="J7" i="61"/>
  <c r="J12" i="61" s="1"/>
  <c r="H202" i="55"/>
  <c r="F18" i="85" s="1"/>
  <c r="F25" i="85" s="1"/>
  <c r="F202" i="85" s="1"/>
  <c r="F204" i="85" s="1"/>
  <c r="F208" i="85" s="1"/>
  <c r="J16" i="61"/>
  <c r="I200" i="55" s="1"/>
  <c r="J184" i="55"/>
  <c r="H8" i="21" s="1"/>
  <c r="I32" i="29" s="1"/>
  <c r="I39" i="29" s="1"/>
  <c r="H43" i="61"/>
  <c r="H45" i="61" s="1"/>
  <c r="H56" i="61" s="1"/>
  <c r="E24" i="69" s="1"/>
  <c r="F29" i="68" s="1"/>
  <c r="E210" i="55"/>
  <c r="E213" i="55" s="1"/>
  <c r="C18" i="85"/>
  <c r="C25" i="85" s="1"/>
  <c r="C38" i="85" s="1"/>
  <c r="C40" i="85" s="1"/>
  <c r="B45" i="85"/>
  <c r="B45" i="21"/>
  <c r="F15" i="85"/>
  <c r="G8" i="21"/>
  <c r="H152" i="29" s="1"/>
  <c r="H159" i="29" s="1"/>
  <c r="J50" i="61"/>
  <c r="J55" i="61" s="1"/>
  <c r="G25" i="69" s="1"/>
  <c r="H12" i="68" s="1"/>
  <c r="G8" i="85"/>
  <c r="G193" i="85" s="1"/>
  <c r="G200" i="85" s="1"/>
  <c r="J41" i="21"/>
  <c r="D11" i="62"/>
  <c r="C11" i="68"/>
  <c r="C29" i="68"/>
  <c r="B27" i="69"/>
  <c r="K50" i="61"/>
  <c r="K55" i="61" s="1"/>
  <c r="H25" i="69" s="1"/>
  <c r="K16" i="61"/>
  <c r="E11" i="68"/>
  <c r="E13" i="68" s="1"/>
  <c r="G64" i="86"/>
  <c r="G70" i="86"/>
  <c r="E18" i="21"/>
  <c r="E25" i="21" s="1"/>
  <c r="F177" i="29" s="1"/>
  <c r="F178" i="29" s="1"/>
  <c r="F179" i="29" s="1"/>
  <c r="E18" i="85"/>
  <c r="E25" i="85" s="1"/>
  <c r="E202" i="85" s="1"/>
  <c r="E204" i="85" s="1"/>
  <c r="E208" i="85" s="1"/>
  <c r="I45" i="29"/>
  <c r="D27" i="69"/>
  <c r="E32" i="68"/>
  <c r="D23" i="68"/>
  <c r="D177" i="29"/>
  <c r="D178" i="29" s="1"/>
  <c r="D179" i="29" s="1"/>
  <c r="D147" i="29"/>
  <c r="D148" i="29" s="1"/>
  <c r="D149" i="29" s="1"/>
  <c r="D162" i="29"/>
  <c r="D163" i="29" s="1"/>
  <c r="D164" i="29" s="1"/>
  <c r="D41" i="29"/>
  <c r="D43" i="29" s="1"/>
  <c r="D47" i="29" s="1"/>
  <c r="D132" i="29"/>
  <c r="D133" i="29" s="1"/>
  <c r="D134" i="29" s="1"/>
  <c r="C38" i="21"/>
  <c r="C40" i="21" s="1"/>
  <c r="F210" i="55"/>
  <c r="F213" i="55" s="1"/>
  <c r="D18" i="21"/>
  <c r="D25" i="21" s="1"/>
  <c r="D18" i="85"/>
  <c r="D25" i="85" s="1"/>
  <c r="C27" i="69"/>
  <c r="D29" i="68"/>
  <c r="D11" i="68"/>
  <c r="D13" i="68" s="1"/>
  <c r="I146" i="29"/>
  <c r="I24" i="68"/>
  <c r="I176" i="29"/>
  <c r="J175" i="72"/>
  <c r="J177" i="72" s="1"/>
  <c r="H19" i="21"/>
  <c r="H19" i="85"/>
  <c r="G19" i="21"/>
  <c r="I175" i="72"/>
  <c r="I177" i="72" s="1"/>
  <c r="G19" i="85"/>
  <c r="I161" i="29"/>
  <c r="G9" i="69"/>
  <c r="H31" i="68" s="1"/>
  <c r="P39" i="22"/>
  <c r="N58" i="22"/>
  <c r="O55" i="22" s="1"/>
  <c r="O56" i="22" s="1"/>
  <c r="G60" i="86"/>
  <c r="M49" i="22"/>
  <c r="L68" i="22"/>
  <c r="H51" i="22"/>
  <c r="G67" i="22"/>
  <c r="N44" i="22"/>
  <c r="N45" i="22" s="1"/>
  <c r="E68" i="22"/>
  <c r="F49" i="22"/>
  <c r="P40" i="22"/>
  <c r="Q37" i="22" s="1"/>
  <c r="L67" i="22"/>
  <c r="N64" i="22"/>
  <c r="O61" i="22" s="1"/>
  <c r="C97" i="22"/>
  <c r="C59" i="85"/>
  <c r="I43" i="61" l="1"/>
  <c r="I45" i="61" s="1"/>
  <c r="I56" i="61" s="1"/>
  <c r="F24" i="69" s="1"/>
  <c r="G29" i="68" s="1"/>
  <c r="C202" i="85"/>
  <c r="C204" i="85" s="1"/>
  <c r="C208" i="85" s="1"/>
  <c r="K7" i="61"/>
  <c r="J199" i="55" s="1"/>
  <c r="J21" i="61"/>
  <c r="G10" i="69" s="1"/>
  <c r="H32" i="68" s="1"/>
  <c r="E27" i="69"/>
  <c r="H210" i="55"/>
  <c r="H213" i="55" s="1"/>
  <c r="I199" i="55"/>
  <c r="I202" i="55" s="1"/>
  <c r="G18" i="85" s="1"/>
  <c r="G25" i="85" s="1"/>
  <c r="G38" i="85" s="1"/>
  <c r="F18" i="21"/>
  <c r="F25" i="21" s="1"/>
  <c r="G147" i="29" s="1"/>
  <c r="G148" i="29" s="1"/>
  <c r="G149" i="29" s="1"/>
  <c r="F11" i="68"/>
  <c r="F13" i="68" s="1"/>
  <c r="I137" i="29"/>
  <c r="I144" i="29" s="1"/>
  <c r="H137" i="29"/>
  <c r="H144" i="29" s="1"/>
  <c r="G15" i="21"/>
  <c r="H6" i="68" s="1"/>
  <c r="H167" i="29"/>
  <c r="H174" i="29" s="1"/>
  <c r="H32" i="29"/>
  <c r="H39" i="29" s="1"/>
  <c r="H122" i="29"/>
  <c r="H129" i="29" s="1"/>
  <c r="I122" i="29"/>
  <c r="I129" i="29" s="1"/>
  <c r="K37" i="61"/>
  <c r="K42" i="61" s="1"/>
  <c r="H9" i="69" s="1"/>
  <c r="I31" i="68" s="1"/>
  <c r="H15" i="21"/>
  <c r="I6" i="68" s="1"/>
  <c r="I167" i="29"/>
  <c r="I174" i="29" s="1"/>
  <c r="I152" i="29"/>
  <c r="I159" i="29" s="1"/>
  <c r="H8" i="85"/>
  <c r="H15" i="85" s="1"/>
  <c r="I12" i="68"/>
  <c r="G15" i="85"/>
  <c r="D12" i="62"/>
  <c r="J200" i="55"/>
  <c r="K21" i="61"/>
  <c r="F162" i="29"/>
  <c r="F163" i="29" s="1"/>
  <c r="F164" i="29" s="1"/>
  <c r="E38" i="21"/>
  <c r="E40" i="21" s="1"/>
  <c r="F109" i="29" s="1"/>
  <c r="F23" i="68"/>
  <c r="E38" i="85"/>
  <c r="E40" i="85" s="1"/>
  <c r="E45" i="85" s="1"/>
  <c r="F132" i="29"/>
  <c r="F133" i="29" s="1"/>
  <c r="F134" i="29" s="1"/>
  <c r="F41" i="29"/>
  <c r="F43" i="29" s="1"/>
  <c r="F47" i="29" s="1"/>
  <c r="F147" i="29"/>
  <c r="F148" i="29" s="1"/>
  <c r="F149" i="29" s="1"/>
  <c r="C270" i="85"/>
  <c r="C45" i="85"/>
  <c r="D109" i="29"/>
  <c r="C45" i="21"/>
  <c r="D202" i="85"/>
  <c r="D204" i="85" s="1"/>
  <c r="D208" i="85" s="1"/>
  <c r="D38" i="85"/>
  <c r="D40" i="85" s="1"/>
  <c r="E162" i="29"/>
  <c r="E163" i="29" s="1"/>
  <c r="E164" i="29" s="1"/>
  <c r="E132" i="29"/>
  <c r="E133" i="29" s="1"/>
  <c r="E134" i="29" s="1"/>
  <c r="E147" i="29"/>
  <c r="E148" i="29" s="1"/>
  <c r="E149" i="29" s="1"/>
  <c r="E177" i="29"/>
  <c r="E178" i="29" s="1"/>
  <c r="E179" i="29" s="1"/>
  <c r="D38" i="21"/>
  <c r="D40" i="21" s="1"/>
  <c r="E41" i="29"/>
  <c r="E43" i="29" s="1"/>
  <c r="E47" i="29" s="1"/>
  <c r="E23" i="68"/>
  <c r="F38" i="85"/>
  <c r="F40" i="85" s="1"/>
  <c r="F270" i="85" s="1"/>
  <c r="O58" i="22"/>
  <c r="P55" i="22" s="1"/>
  <c r="P56" i="22" s="1"/>
  <c r="O57" i="22"/>
  <c r="N46" i="22"/>
  <c r="O43" i="22" s="1"/>
  <c r="O44" i="22" s="1"/>
  <c r="O46" i="22" s="1"/>
  <c r="P43" i="22" s="1"/>
  <c r="Q38" i="22"/>
  <c r="Q39" i="22" s="1"/>
  <c r="I51" i="22"/>
  <c r="I67" i="22" s="1"/>
  <c r="H67" i="22"/>
  <c r="O62" i="22"/>
  <c r="O63" i="22" s="1"/>
  <c r="F52" i="22"/>
  <c r="F65" i="22"/>
  <c r="E13" i="69" s="1"/>
  <c r="E15" i="69" s="1"/>
  <c r="M65" i="22"/>
  <c r="M50" i="22"/>
  <c r="M52" i="22" s="1"/>
  <c r="F27" i="69" l="1"/>
  <c r="G11" i="68"/>
  <c r="G13" i="68" s="1"/>
  <c r="K12" i="61"/>
  <c r="J43" i="61"/>
  <c r="J45" i="61" s="1"/>
  <c r="J56" i="61" s="1"/>
  <c r="G24" i="69" s="1"/>
  <c r="G27" i="69" s="1"/>
  <c r="J202" i="55"/>
  <c r="H18" i="21" s="1"/>
  <c r="H25" i="21" s="1"/>
  <c r="I132" i="29" s="1"/>
  <c r="I133" i="29" s="1"/>
  <c r="I134" i="29" s="1"/>
  <c r="F38" i="21"/>
  <c r="F40" i="21" s="1"/>
  <c r="F45" i="21" s="1"/>
  <c r="I210" i="55"/>
  <c r="I213" i="55" s="1"/>
  <c r="G18" i="21"/>
  <c r="G25" i="21" s="1"/>
  <c r="H23" i="68" s="1"/>
  <c r="G162" i="29"/>
  <c r="G163" i="29" s="1"/>
  <c r="G164" i="29" s="1"/>
  <c r="G177" i="29"/>
  <c r="G178" i="29" s="1"/>
  <c r="G179" i="29" s="1"/>
  <c r="G23" i="68"/>
  <c r="G132" i="29"/>
  <c r="G133" i="29" s="1"/>
  <c r="G134" i="29" s="1"/>
  <c r="G41" i="29"/>
  <c r="G43" i="29" s="1"/>
  <c r="G47" i="29" s="1"/>
  <c r="H193" i="85"/>
  <c r="H200" i="85" s="1"/>
  <c r="G40" i="85"/>
  <c r="G45" i="85" s="1"/>
  <c r="C83" i="29"/>
  <c r="C94" i="29"/>
  <c r="C71" i="29"/>
  <c r="D22" i="29"/>
  <c r="B33" i="69"/>
  <c r="C33" i="69" s="1"/>
  <c r="D33" i="69" s="1"/>
  <c r="E33" i="69" s="1"/>
  <c r="F33" i="69" s="1"/>
  <c r="C7" i="68"/>
  <c r="K43" i="61"/>
  <c r="K45" i="61" s="1"/>
  <c r="K56" i="61" s="1"/>
  <c r="H24" i="69" s="1"/>
  <c r="I29" i="68" s="1"/>
  <c r="H10" i="69"/>
  <c r="I32" i="68" s="1"/>
  <c r="E45" i="21"/>
  <c r="E270" i="85"/>
  <c r="G202" i="85"/>
  <c r="G204" i="85" s="1"/>
  <c r="G208" i="85" s="1"/>
  <c r="F45" i="85"/>
  <c r="P57" i="22"/>
  <c r="D45" i="21"/>
  <c r="E109" i="29"/>
  <c r="D270" i="85"/>
  <c r="D45" i="85"/>
  <c r="O64" i="22"/>
  <c r="P61" i="22" s="1"/>
  <c r="P62" i="22" s="1"/>
  <c r="P63" i="22" s="1"/>
  <c r="Q40" i="22"/>
  <c r="P58" i="22"/>
  <c r="Q55" i="22" s="1"/>
  <c r="Q56" i="22" s="1"/>
  <c r="P44" i="22"/>
  <c r="P46" i="22" s="1"/>
  <c r="Q43" i="22" s="1"/>
  <c r="N49" i="22"/>
  <c r="M68" i="22"/>
  <c r="G49" i="22"/>
  <c r="F68" i="22"/>
  <c r="O45" i="22"/>
  <c r="M66" i="22"/>
  <c r="M51" i="22"/>
  <c r="H11" i="68" l="1"/>
  <c r="H13" i="68" s="1"/>
  <c r="H29" i="68"/>
  <c r="J210" i="55"/>
  <c r="J213" i="55" s="1"/>
  <c r="H18" i="85"/>
  <c r="H25" i="85" s="1"/>
  <c r="H38" i="85" s="1"/>
  <c r="H40" i="85" s="1"/>
  <c r="H270" i="85" s="1"/>
  <c r="Q57" i="22"/>
  <c r="H162" i="29"/>
  <c r="H163" i="29" s="1"/>
  <c r="H164" i="29" s="1"/>
  <c r="H132" i="29"/>
  <c r="H133" i="29" s="1"/>
  <c r="H134" i="29" s="1"/>
  <c r="H177" i="29"/>
  <c r="H178" i="29" s="1"/>
  <c r="H179" i="29" s="1"/>
  <c r="H41" i="29"/>
  <c r="H43" i="29" s="1"/>
  <c r="H47" i="29" s="1"/>
  <c r="G38" i="21"/>
  <c r="G40" i="21" s="1"/>
  <c r="G45" i="21" s="1"/>
  <c r="H147" i="29"/>
  <c r="H148" i="29" s="1"/>
  <c r="H149" i="29" s="1"/>
  <c r="G109" i="29"/>
  <c r="I147" i="29"/>
  <c r="I148" i="29" s="1"/>
  <c r="I149" i="29" s="1"/>
  <c r="I177" i="29"/>
  <c r="I178" i="29" s="1"/>
  <c r="I179" i="29" s="1"/>
  <c r="I23" i="68"/>
  <c r="I41" i="29"/>
  <c r="I43" i="29" s="1"/>
  <c r="I47" i="29" s="1"/>
  <c r="H38" i="21"/>
  <c r="H40" i="21" s="1"/>
  <c r="H45" i="21" s="1"/>
  <c r="G270" i="85"/>
  <c r="I162" i="29"/>
  <c r="I163" i="29" s="1"/>
  <c r="I164" i="29" s="1"/>
  <c r="E22" i="62"/>
  <c r="C10" i="68"/>
  <c r="C13" i="68" s="1"/>
  <c r="D4" i="23"/>
  <c r="H27" i="69"/>
  <c r="H31" i="69" s="1"/>
  <c r="I11" i="68"/>
  <c r="I13" i="68" s="1"/>
  <c r="P45" i="22"/>
  <c r="P64" i="22"/>
  <c r="Q61" i="22" s="1"/>
  <c r="Q62" i="22" s="1"/>
  <c r="Q63" i="22" s="1"/>
  <c r="N50" i="22"/>
  <c r="N66" i="22" s="1"/>
  <c r="N65" i="22"/>
  <c r="Q44" i="22"/>
  <c r="M67" i="22"/>
  <c r="G65" i="22"/>
  <c r="F13" i="69" s="1"/>
  <c r="F15" i="69" s="1"/>
  <c r="G52" i="22"/>
  <c r="D97" i="22"/>
  <c r="D59" i="85"/>
  <c r="Q58" i="22"/>
  <c r="G33" i="69"/>
  <c r="H45" i="85" l="1"/>
  <c r="H202" i="85"/>
  <c r="H204" i="85" s="1"/>
  <c r="H208" i="85" s="1"/>
  <c r="B210" i="85" s="1"/>
  <c r="C49" i="29"/>
  <c r="D28" i="62" s="1"/>
  <c r="H109" i="29"/>
  <c r="I109" i="29"/>
  <c r="C15" i="29"/>
  <c r="B176" i="85"/>
  <c r="B70" i="85"/>
  <c r="D8" i="23"/>
  <c r="C10" i="23"/>
  <c r="Q45" i="22"/>
  <c r="N52" i="22"/>
  <c r="N68" i="22" s="1"/>
  <c r="N51" i="22"/>
  <c r="N67" i="22" s="1"/>
  <c r="Q64" i="22"/>
  <c r="H49" i="22"/>
  <c r="G68" i="22"/>
  <c r="Q46" i="22"/>
  <c r="E97" i="22"/>
  <c r="E59" i="85"/>
  <c r="H33" i="69"/>
  <c r="B74" i="85" l="1"/>
  <c r="C76" i="85"/>
  <c r="D76" i="85" s="1"/>
  <c r="F76" i="85" s="1"/>
  <c r="E76" i="85" s="1"/>
  <c r="G76" i="85" s="1"/>
  <c r="C77" i="85" s="1"/>
  <c r="D77" i="85" s="1"/>
  <c r="B232" i="85"/>
  <c r="B244" i="85" s="1"/>
  <c r="B255" i="85" s="1"/>
  <c r="C183" i="85"/>
  <c r="D10" i="23"/>
  <c r="F10" i="23" s="1"/>
  <c r="E10" i="23" s="1"/>
  <c r="G10" i="23" s="1"/>
  <c r="C11" i="23" s="1"/>
  <c r="D11" i="23" s="1"/>
  <c r="F11" i="23" s="1"/>
  <c r="E11" i="23" s="1"/>
  <c r="F31" i="23"/>
  <c r="F47" i="23"/>
  <c r="F63" i="23"/>
  <c r="F28" i="23"/>
  <c r="F44" i="23"/>
  <c r="F60" i="23"/>
  <c r="F29" i="23"/>
  <c r="F45" i="23"/>
  <c r="F61" i="23"/>
  <c r="F62" i="23"/>
  <c r="F76" i="23"/>
  <c r="F91" i="23"/>
  <c r="F69" i="23"/>
  <c r="F84" i="23"/>
  <c r="F58" i="23"/>
  <c r="F86" i="23"/>
  <c r="F85" i="23"/>
  <c r="F82" i="23"/>
  <c r="F78" i="23"/>
  <c r="F19" i="23"/>
  <c r="F35" i="23"/>
  <c r="F51" i="23"/>
  <c r="F16" i="23"/>
  <c r="F32" i="23"/>
  <c r="F48" i="23"/>
  <c r="F17" i="23"/>
  <c r="F33" i="23"/>
  <c r="F49" i="23"/>
  <c r="F65" i="23"/>
  <c r="F66" i="23"/>
  <c r="F80" i="23"/>
  <c r="F18" i="23"/>
  <c r="F73" i="23"/>
  <c r="F88" i="23"/>
  <c r="F64" i="23"/>
  <c r="F22" i="23"/>
  <c r="F42" i="23"/>
  <c r="F90" i="23"/>
  <c r="F38" i="23"/>
  <c r="F57" i="23"/>
  <c r="F72" i="23"/>
  <c r="F81" i="23"/>
  <c r="F75" i="23"/>
  <c r="F79" i="23"/>
  <c r="F23" i="23"/>
  <c r="F39" i="23"/>
  <c r="F55" i="23"/>
  <c r="F20" i="23"/>
  <c r="F36" i="23"/>
  <c r="F52" i="23"/>
  <c r="F21" i="23"/>
  <c r="F37" i="23"/>
  <c r="F53" i="23"/>
  <c r="F30" i="23"/>
  <c r="F68" i="23"/>
  <c r="F83" i="23"/>
  <c r="F34" i="23"/>
  <c r="F77" i="23"/>
  <c r="F92" i="23"/>
  <c r="F67" i="23"/>
  <c r="F54" i="23"/>
  <c r="F71" i="23"/>
  <c r="F70" i="23"/>
  <c r="F93" i="23"/>
  <c r="F27" i="23"/>
  <c r="F43" i="23"/>
  <c r="F59" i="23"/>
  <c r="F24" i="23"/>
  <c r="F40" i="23"/>
  <c r="F56" i="23"/>
  <c r="F25" i="23"/>
  <c r="F41" i="23"/>
  <c r="F46" i="23"/>
  <c r="F87" i="23"/>
  <c r="F50" i="23"/>
  <c r="F26" i="23"/>
  <c r="F74" i="23"/>
  <c r="F89" i="23"/>
  <c r="O49" i="22"/>
  <c r="O50" i="22" s="1"/>
  <c r="O52" i="22" s="1"/>
  <c r="H52" i="22"/>
  <c r="H65" i="22"/>
  <c r="G13" i="69" s="1"/>
  <c r="G15" i="69" s="1"/>
  <c r="F94" i="85" l="1"/>
  <c r="F108" i="85"/>
  <c r="F124" i="85"/>
  <c r="F142" i="85"/>
  <c r="F155" i="85"/>
  <c r="F105" i="85"/>
  <c r="F85" i="85"/>
  <c r="F89" i="85"/>
  <c r="F125" i="85"/>
  <c r="F110" i="85"/>
  <c r="F148" i="85"/>
  <c r="F99" i="85"/>
  <c r="F143" i="85"/>
  <c r="F93" i="85"/>
  <c r="F130" i="85"/>
  <c r="F156" i="85"/>
  <c r="F82" i="85"/>
  <c r="F103" i="85"/>
  <c r="F135" i="85"/>
  <c r="F84" i="85"/>
  <c r="F118" i="85"/>
  <c r="F132" i="85"/>
  <c r="F147" i="85"/>
  <c r="F107" i="85"/>
  <c r="F87" i="85"/>
  <c r="F120" i="85"/>
  <c r="F112" i="85"/>
  <c r="F119" i="85"/>
  <c r="F158" i="85"/>
  <c r="F134" i="85"/>
  <c r="F152" i="85"/>
  <c r="F90" i="85"/>
  <c r="F122" i="85"/>
  <c r="F151" i="85"/>
  <c r="F123" i="85"/>
  <c r="F117" i="85"/>
  <c r="F129" i="85"/>
  <c r="F131" i="85"/>
  <c r="F121" i="85"/>
  <c r="F159" i="85"/>
  <c r="F136" i="85"/>
  <c r="F98" i="85"/>
  <c r="F114" i="85"/>
  <c r="F128" i="85"/>
  <c r="F146" i="85"/>
  <c r="F95" i="85"/>
  <c r="F106" i="85"/>
  <c r="F86" i="85"/>
  <c r="F115" i="85"/>
  <c r="F126" i="85"/>
  <c r="F111" i="85"/>
  <c r="F149" i="85"/>
  <c r="F102" i="85"/>
  <c r="F144" i="85"/>
  <c r="F109" i="85"/>
  <c r="F139" i="85"/>
  <c r="F157" i="85"/>
  <c r="F101" i="85"/>
  <c r="F113" i="85"/>
  <c r="F137" i="85"/>
  <c r="F100" i="85"/>
  <c r="F96" i="85"/>
  <c r="F116" i="85"/>
  <c r="F150" i="85"/>
  <c r="F145" i="85"/>
  <c r="F127" i="85"/>
  <c r="F140" i="85"/>
  <c r="F133" i="85"/>
  <c r="F104" i="85"/>
  <c r="F138" i="85"/>
  <c r="F97" i="85"/>
  <c r="F88" i="85"/>
  <c r="F92" i="85"/>
  <c r="F83" i="85"/>
  <c r="F91" i="85"/>
  <c r="F141" i="85"/>
  <c r="F154" i="85"/>
  <c r="F153" i="85"/>
  <c r="O65" i="22"/>
  <c r="I49" i="22"/>
  <c r="H68" i="22"/>
  <c r="P49" i="22"/>
  <c r="O68" i="22"/>
  <c r="O66" i="22"/>
  <c r="O51" i="22"/>
  <c r="F77" i="85"/>
  <c r="G11" i="23"/>
  <c r="C12" i="23" s="1"/>
  <c r="C276" i="85" l="1"/>
  <c r="E276" i="85"/>
  <c r="H276" i="85"/>
  <c r="F276" i="85"/>
  <c r="D276" i="85"/>
  <c r="G276" i="85"/>
  <c r="P50" i="22"/>
  <c r="P66" i="22" s="1"/>
  <c r="P65" i="22"/>
  <c r="O67" i="22"/>
  <c r="F97" i="22"/>
  <c r="F59" i="85"/>
  <c r="I52" i="22"/>
  <c r="I68" i="22" s="1"/>
  <c r="I65" i="22"/>
  <c r="H13" i="69" s="1"/>
  <c r="H15" i="69" s="1"/>
  <c r="D12" i="23"/>
  <c r="E77" i="85"/>
  <c r="G77" i="85" s="1"/>
  <c r="C78" i="85" s="1"/>
  <c r="P51" i="22" l="1"/>
  <c r="P67" i="22" s="1"/>
  <c r="P52" i="22"/>
  <c r="Q49" i="22" s="1"/>
  <c r="G97" i="22"/>
  <c r="G59" i="85"/>
  <c r="D78" i="85"/>
  <c r="F12" i="23"/>
  <c r="E12" i="23" s="1"/>
  <c r="P68" i="22" l="1"/>
  <c r="Q50" i="22"/>
  <c r="Q52" i="22" s="1"/>
  <c r="Q68" i="22" s="1"/>
  <c r="Q65" i="22"/>
  <c r="G12" i="23"/>
  <c r="C13" i="23" s="1"/>
  <c r="F78" i="85"/>
  <c r="Q66" i="22" l="1"/>
  <c r="Q51" i="22"/>
  <c r="Q67" i="22" s="1"/>
  <c r="E78" i="85"/>
  <c r="G78" i="85" s="1"/>
  <c r="C79" i="85" s="1"/>
  <c r="D13" i="23"/>
  <c r="H97" i="22" l="1"/>
  <c r="H59" i="85"/>
  <c r="F13" i="23"/>
  <c r="E13" i="23" s="1"/>
  <c r="D79" i="85"/>
  <c r="F79" i="85" l="1"/>
  <c r="G13" i="23"/>
  <c r="C14" i="23" s="1"/>
  <c r="D14" i="23" l="1"/>
  <c r="E79" i="85"/>
  <c r="G79" i="85" s="1"/>
  <c r="C80" i="85" s="1"/>
  <c r="D80" i="85" l="1"/>
  <c r="F14" i="23"/>
  <c r="E14" i="23" s="1"/>
  <c r="G14" i="23" l="1"/>
  <c r="C15" i="23" s="1"/>
  <c r="F80" i="85"/>
  <c r="E80" i="85" l="1"/>
  <c r="G80" i="85" s="1"/>
  <c r="C81" i="85" s="1"/>
  <c r="D15" i="23"/>
  <c r="F15" i="23" s="1"/>
  <c r="E15" i="23" s="1"/>
  <c r="G15" i="23" s="1"/>
  <c r="C16" i="23" s="1"/>
  <c r="D16" i="23" l="1"/>
  <c r="E16" i="23" s="1"/>
  <c r="G16" i="23" s="1"/>
  <c r="C17" i="23" s="1"/>
  <c r="D81" i="85"/>
  <c r="F81" i="85" s="1"/>
  <c r="D17" i="23" l="1"/>
  <c r="E17" i="23" s="1"/>
  <c r="G17" i="23" s="1"/>
  <c r="C18" i="23" s="1"/>
  <c r="E81" i="85"/>
  <c r="G81" i="85" s="1"/>
  <c r="C82" i="85" s="1"/>
  <c r="B276" i="85"/>
  <c r="D18" i="23" l="1"/>
  <c r="E18" i="23" s="1"/>
  <c r="G18" i="23" s="1"/>
  <c r="C19" i="23" s="1"/>
  <c r="D82" i="85"/>
  <c r="E82" i="85" s="1"/>
  <c r="G82" i="85" s="1"/>
  <c r="C83" i="85" s="1"/>
  <c r="D83" i="85" l="1"/>
  <c r="E83" i="85" s="1"/>
  <c r="G83" i="85" s="1"/>
  <c r="C84" i="85" s="1"/>
  <c r="D19" i="23"/>
  <c r="E19" i="23" s="1"/>
  <c r="G19" i="23" s="1"/>
  <c r="C20" i="23" s="1"/>
  <c r="D84" i="85" l="1"/>
  <c r="E84" i="85" s="1"/>
  <c r="G84" i="85" s="1"/>
  <c r="C85" i="85" s="1"/>
  <c r="D20" i="23"/>
  <c r="E20" i="23" s="1"/>
  <c r="G20" i="23" s="1"/>
  <c r="C21" i="23" s="1"/>
  <c r="D85" i="85" l="1"/>
  <c r="E85" i="85" s="1"/>
  <c r="G85" i="85" s="1"/>
  <c r="C86" i="85" s="1"/>
  <c r="D21" i="23"/>
  <c r="D86" i="85" l="1"/>
  <c r="E86" i="85" s="1"/>
  <c r="G86" i="85" s="1"/>
  <c r="C87" i="85" s="1"/>
  <c r="E21" i="23"/>
  <c r="C27" i="68"/>
  <c r="D87" i="85" l="1"/>
  <c r="B47" i="21"/>
  <c r="B49" i="21" s="1"/>
  <c r="C110" i="29"/>
  <c r="C26" i="68"/>
  <c r="G21" i="23"/>
  <c r="B95" i="22" l="1"/>
  <c r="B98" i="22" s="1"/>
  <c r="B99" i="22" s="1"/>
  <c r="B50" i="21" s="1"/>
  <c r="C30" i="68" s="1"/>
  <c r="C33" i="68" s="1"/>
  <c r="C34" i="68" s="1"/>
  <c r="C36" i="68" s="1"/>
  <c r="J40" i="21"/>
  <c r="J42" i="21" s="1"/>
  <c r="C22" i="23"/>
  <c r="B28" i="69"/>
  <c r="B31" i="69" s="1"/>
  <c r="E87" i="85"/>
  <c r="G87" i="85" s="1"/>
  <c r="C88" i="85" s="1"/>
  <c r="B47" i="85"/>
  <c r="B49" i="85" s="1"/>
  <c r="B273" i="85"/>
  <c r="B274" i="85" s="1"/>
  <c r="B278" i="85" s="1"/>
  <c r="C112" i="29"/>
  <c r="C114" i="29" s="1"/>
  <c r="D35" i="68" l="1"/>
  <c r="B8" i="69"/>
  <c r="B11" i="69" s="1"/>
  <c r="B20" i="69" s="1"/>
  <c r="B57" i="85"/>
  <c r="B60" i="85" s="1"/>
  <c r="B61" i="85" s="1"/>
  <c r="B50" i="85" s="1"/>
  <c r="B51" i="85" s="1"/>
  <c r="D22" i="23"/>
  <c r="D88" i="85"/>
  <c r="B51" i="21"/>
  <c r="C256" i="85" l="1"/>
  <c r="C259" i="85" s="1"/>
  <c r="C260" i="85" s="1"/>
  <c r="B241" i="85"/>
  <c r="B219" i="85"/>
  <c r="B224" i="85" s="1"/>
  <c r="B228" i="85" s="1"/>
  <c r="C170" i="85"/>
  <c r="C175" i="85" s="1"/>
  <c r="C80" i="29"/>
  <c r="D95" i="29"/>
  <c r="D98" i="29" s="1"/>
  <c r="D99" i="29" s="1"/>
  <c r="B53" i="21"/>
  <c r="C58" i="29"/>
  <c r="C63" i="29" s="1"/>
  <c r="C67" i="29" s="1"/>
  <c r="D9" i="29"/>
  <c r="D14" i="29" s="1"/>
  <c r="E22" i="23"/>
  <c r="E88" i="85"/>
  <c r="G88" i="85" s="1"/>
  <c r="C89" i="85" s="1"/>
  <c r="C176" i="85" l="1"/>
  <c r="G22" i="23"/>
  <c r="C23" i="23" s="1"/>
  <c r="B37" i="69"/>
  <c r="B39" i="69" s="1"/>
  <c r="D89" i="85"/>
  <c r="D15" i="29"/>
  <c r="C36" i="69" l="1"/>
  <c r="B41" i="69"/>
  <c r="B43" i="69" s="1"/>
  <c r="B46" i="69" s="1"/>
  <c r="E89" i="85"/>
  <c r="G89" i="85" s="1"/>
  <c r="C90" i="85" s="1"/>
  <c r="D23" i="23"/>
  <c r="E23" i="23" l="1"/>
  <c r="D90" i="85"/>
  <c r="E90" i="85" l="1"/>
  <c r="G90" i="85" s="1"/>
  <c r="C91" i="85" s="1"/>
  <c r="G23" i="23"/>
  <c r="C24" i="23" s="1"/>
  <c r="D24" i="23" l="1"/>
  <c r="D91" i="85"/>
  <c r="E24" i="23" l="1"/>
  <c r="E91" i="85"/>
  <c r="G91" i="85" s="1"/>
  <c r="C92" i="85" s="1"/>
  <c r="D92" i="85" l="1"/>
  <c r="G24" i="23"/>
  <c r="C25" i="23" s="1"/>
  <c r="D25" i="23" l="1"/>
  <c r="E92" i="85"/>
  <c r="G92" i="85" s="1"/>
  <c r="C93" i="85" s="1"/>
  <c r="E25" i="23" l="1"/>
  <c r="D93" i="85"/>
  <c r="E93" i="85" s="1"/>
  <c r="G93" i="85" s="1"/>
  <c r="C94" i="85" s="1"/>
  <c r="D94" i="85" l="1"/>
  <c r="E94" i="85" s="1"/>
  <c r="G94" i="85" s="1"/>
  <c r="C95" i="85" s="1"/>
  <c r="G25" i="23"/>
  <c r="C26" i="23" s="1"/>
  <c r="D26" i="23" l="1"/>
  <c r="D95" i="85"/>
  <c r="E95" i="85" s="1"/>
  <c r="G95" i="85" s="1"/>
  <c r="C96" i="85" s="1"/>
  <c r="D96" i="85" l="1"/>
  <c r="E96" i="85" s="1"/>
  <c r="G96" i="85" s="1"/>
  <c r="C97" i="85" s="1"/>
  <c r="E26" i="23"/>
  <c r="D97" i="85" l="1"/>
  <c r="E97" i="85" s="1"/>
  <c r="G97" i="85" s="1"/>
  <c r="C98" i="85" s="1"/>
  <c r="G26" i="23"/>
  <c r="C27" i="23" s="1"/>
  <c r="D27" i="23" l="1"/>
  <c r="E27" i="23" s="1"/>
  <c r="G27" i="23" s="1"/>
  <c r="C28" i="23" s="1"/>
  <c r="D98" i="85"/>
  <c r="E98" i="85" s="1"/>
  <c r="G98" i="85" s="1"/>
  <c r="C99" i="85" s="1"/>
  <c r="D99" i="85" l="1"/>
  <c r="D28" i="23"/>
  <c r="E28" i="23" s="1"/>
  <c r="G28" i="23" s="1"/>
  <c r="C29" i="23" s="1"/>
  <c r="D29" i="23" l="1"/>
  <c r="E29" i="23" s="1"/>
  <c r="G29" i="23" s="1"/>
  <c r="C30" i="23" s="1"/>
  <c r="E99" i="85"/>
  <c r="G99" i="85" s="1"/>
  <c r="C100" i="85" s="1"/>
  <c r="C47" i="85"/>
  <c r="C49" i="85" s="1"/>
  <c r="C273" i="85"/>
  <c r="C274" i="85" s="1"/>
  <c r="C278" i="85" s="1"/>
  <c r="D30" i="23" l="1"/>
  <c r="E30" i="23" s="1"/>
  <c r="G30" i="23" s="1"/>
  <c r="C31" i="23" s="1"/>
  <c r="C57" i="85"/>
  <c r="C60" i="85" s="1"/>
  <c r="C61" i="85" s="1"/>
  <c r="C50" i="85" s="1"/>
  <c r="C51" i="85" s="1"/>
  <c r="D100" i="85"/>
  <c r="D256" i="85" l="1"/>
  <c r="D259" i="85" s="1"/>
  <c r="D260" i="85" s="1"/>
  <c r="C219" i="85"/>
  <c r="C224" i="85" s="1"/>
  <c r="C228" i="85" s="1"/>
  <c r="D170" i="85"/>
  <c r="D175" i="85" s="1"/>
  <c r="C241" i="85"/>
  <c r="D31" i="23"/>
  <c r="E31" i="23" s="1"/>
  <c r="G31" i="23" s="1"/>
  <c r="C32" i="23" s="1"/>
  <c r="E100" i="85"/>
  <c r="G100" i="85" s="1"/>
  <c r="C101" i="85" s="1"/>
  <c r="D176" i="85" l="1"/>
  <c r="D32" i="23"/>
  <c r="E32" i="23" s="1"/>
  <c r="G32" i="23" s="1"/>
  <c r="C33" i="23" s="1"/>
  <c r="D101" i="85"/>
  <c r="D33" i="23" l="1"/>
  <c r="E101" i="85"/>
  <c r="G101" i="85" s="1"/>
  <c r="C102" i="85" s="1"/>
  <c r="D102" i="85" l="1"/>
  <c r="E33" i="23"/>
  <c r="D27" i="68"/>
  <c r="C47" i="21" l="1"/>
  <c r="C49" i="21" s="1"/>
  <c r="D110" i="29"/>
  <c r="E102" i="85"/>
  <c r="G102" i="85" s="1"/>
  <c r="C103" i="85" s="1"/>
  <c r="D26" i="68"/>
  <c r="G33" i="23"/>
  <c r="C34" i="23" l="1"/>
  <c r="C28" i="69"/>
  <c r="C31" i="69" s="1"/>
  <c r="D103" i="85"/>
  <c r="D112" i="29"/>
  <c r="D114" i="29" s="1"/>
  <c r="C95" i="22"/>
  <c r="C98" i="22" s="1"/>
  <c r="C99" i="22" s="1"/>
  <c r="C50" i="21" s="1"/>
  <c r="D30" i="68" s="1"/>
  <c r="D33" i="68" s="1"/>
  <c r="D34" i="68" s="1"/>
  <c r="D36" i="68" s="1"/>
  <c r="C8" i="69" l="1"/>
  <c r="C11" i="69" s="1"/>
  <c r="C20" i="69" s="1"/>
  <c r="E35" i="68"/>
  <c r="E103" i="85"/>
  <c r="G103" i="85" s="1"/>
  <c r="C104" i="85" s="1"/>
  <c r="C51" i="21"/>
  <c r="D34" i="23"/>
  <c r="E34" i="23" l="1"/>
  <c r="D104" i="85"/>
  <c r="E95" i="29"/>
  <c r="E98" i="29" s="1"/>
  <c r="E99" i="29" s="1"/>
  <c r="E9" i="29"/>
  <c r="E14" i="29" s="1"/>
  <c r="D80" i="29"/>
  <c r="C37" i="69"/>
  <c r="C39" i="69" s="1"/>
  <c r="D58" i="29"/>
  <c r="D63" i="29" s="1"/>
  <c r="D67" i="29" s="1"/>
  <c r="C53" i="21"/>
  <c r="D36" i="69" l="1"/>
  <c r="C41" i="69"/>
  <c r="C43" i="69" s="1"/>
  <c r="C46" i="69" s="1"/>
  <c r="E104" i="85"/>
  <c r="G104" i="85" s="1"/>
  <c r="C105" i="85" s="1"/>
  <c r="E15" i="29"/>
  <c r="G34" i="23"/>
  <c r="C35" i="23" s="1"/>
  <c r="D105" i="85" l="1"/>
  <c r="E105" i="85" s="1"/>
  <c r="G105" i="85" s="1"/>
  <c r="C106" i="85" s="1"/>
  <c r="D35" i="23"/>
  <c r="D106" i="85" l="1"/>
  <c r="E106" i="85" s="1"/>
  <c r="G106" i="85" s="1"/>
  <c r="C107" i="85" s="1"/>
  <c r="E35" i="23"/>
  <c r="D107" i="85" l="1"/>
  <c r="E107" i="85" s="1"/>
  <c r="G107" i="85" s="1"/>
  <c r="C108" i="85" s="1"/>
  <c r="G35" i="23"/>
  <c r="C36" i="23" s="1"/>
  <c r="D36" i="23" l="1"/>
  <c r="D108" i="85"/>
  <c r="E108" i="85" s="1"/>
  <c r="G108" i="85" s="1"/>
  <c r="C109" i="85" s="1"/>
  <c r="D109" i="85" l="1"/>
  <c r="E109" i="85" s="1"/>
  <c r="G109" i="85" s="1"/>
  <c r="C110" i="85" s="1"/>
  <c r="E36" i="23"/>
  <c r="D110" i="85" l="1"/>
  <c r="E110" i="85" s="1"/>
  <c r="G110" i="85" s="1"/>
  <c r="C111" i="85" s="1"/>
  <c r="G36" i="23"/>
  <c r="C37" i="23" s="1"/>
  <c r="D111" i="85" l="1"/>
  <c r="D37" i="23"/>
  <c r="E37" i="23" l="1"/>
  <c r="E111" i="85"/>
  <c r="G111" i="85" s="1"/>
  <c r="C112" i="85" s="1"/>
  <c r="D47" i="85"/>
  <c r="D49" i="85" s="1"/>
  <c r="D273" i="85"/>
  <c r="D274" i="85" s="1"/>
  <c r="D278" i="85" s="1"/>
  <c r="D57" i="85" l="1"/>
  <c r="D60" i="85" s="1"/>
  <c r="D61" i="85" s="1"/>
  <c r="D50" i="85" s="1"/>
  <c r="D51" i="85" s="1"/>
  <c r="D112" i="85"/>
  <c r="G37" i="23"/>
  <c r="C38" i="23" s="1"/>
  <c r="D241" i="85" l="1"/>
  <c r="D219" i="85"/>
  <c r="D224" i="85" s="1"/>
  <c r="D228" i="85" s="1"/>
  <c r="E170" i="85"/>
  <c r="E175" i="85" s="1"/>
  <c r="E256" i="85"/>
  <c r="E259" i="85" s="1"/>
  <c r="E260" i="85" s="1"/>
  <c r="E112" i="85"/>
  <c r="G112" i="85" s="1"/>
  <c r="C113" i="85" s="1"/>
  <c r="D38" i="23"/>
  <c r="E38" i="23" l="1"/>
  <c r="D113" i="85"/>
  <c r="E176" i="85"/>
  <c r="E113" i="85" l="1"/>
  <c r="G113" i="85" s="1"/>
  <c r="C114" i="85" s="1"/>
  <c r="G38" i="23"/>
  <c r="C39" i="23" s="1"/>
  <c r="D39" i="23" l="1"/>
  <c r="E39" i="23" s="1"/>
  <c r="G39" i="23" s="1"/>
  <c r="C40" i="23" s="1"/>
  <c r="D114" i="85"/>
  <c r="D40" i="23" l="1"/>
  <c r="E40" i="23" s="1"/>
  <c r="G40" i="23" s="1"/>
  <c r="C41" i="23" s="1"/>
  <c r="E114" i="85"/>
  <c r="G114" i="85" s="1"/>
  <c r="C115" i="85" s="1"/>
  <c r="D41" i="23" l="1"/>
  <c r="E41" i="23" s="1"/>
  <c r="G41" i="23" s="1"/>
  <c r="C42" i="23" s="1"/>
  <c r="D115" i="85"/>
  <c r="D42" i="23" l="1"/>
  <c r="E42" i="23" s="1"/>
  <c r="G42" i="23" s="1"/>
  <c r="C43" i="23" s="1"/>
  <c r="E115" i="85"/>
  <c r="G115" i="85" s="1"/>
  <c r="C116" i="85" s="1"/>
  <c r="D116" i="85" l="1"/>
  <c r="D43" i="23"/>
  <c r="E43" i="23" s="1"/>
  <c r="G43" i="23" s="1"/>
  <c r="C44" i="23" s="1"/>
  <c r="D44" i="23" l="1"/>
  <c r="E44" i="23" s="1"/>
  <c r="G44" i="23" s="1"/>
  <c r="C45" i="23" s="1"/>
  <c r="E116" i="85"/>
  <c r="G116" i="85" s="1"/>
  <c r="C117" i="85" s="1"/>
  <c r="D45" i="23" l="1"/>
  <c r="D117" i="85"/>
  <c r="E117" i="85" s="1"/>
  <c r="G117" i="85" s="1"/>
  <c r="C118" i="85" s="1"/>
  <c r="D118" i="85" l="1"/>
  <c r="E118" i="85" s="1"/>
  <c r="G118" i="85" s="1"/>
  <c r="C119" i="85" s="1"/>
  <c r="E45" i="23"/>
  <c r="E27" i="68"/>
  <c r="D119" i="85" l="1"/>
  <c r="E119" i="85" s="1"/>
  <c r="G119" i="85" s="1"/>
  <c r="C120" i="85" s="1"/>
  <c r="D47" i="21"/>
  <c r="D49" i="21" s="1"/>
  <c r="E110" i="29"/>
  <c r="E26" i="68"/>
  <c r="G45" i="23"/>
  <c r="C46" i="23" l="1"/>
  <c r="D28" i="69"/>
  <c r="D31" i="69" s="1"/>
  <c r="D120" i="85"/>
  <c r="E120" i="85" s="1"/>
  <c r="G120" i="85" s="1"/>
  <c r="C121" i="85" s="1"/>
  <c r="D95" i="22"/>
  <c r="D98" i="22" s="1"/>
  <c r="D99" i="22" s="1"/>
  <c r="D50" i="21" s="1"/>
  <c r="E30" i="68" s="1"/>
  <c r="E33" i="68" s="1"/>
  <c r="E34" i="68" s="1"/>
  <c r="E36" i="68" s="1"/>
  <c r="E112" i="29"/>
  <c r="E114" i="29" s="1"/>
  <c r="F35" i="68" l="1"/>
  <c r="D8" i="69"/>
  <c r="D11" i="69" s="1"/>
  <c r="D20" i="69" s="1"/>
  <c r="D121" i="85"/>
  <c r="E121" i="85" s="1"/>
  <c r="G121" i="85" s="1"/>
  <c r="C122" i="85" s="1"/>
  <c r="D51" i="21"/>
  <c r="D46" i="23"/>
  <c r="D122" i="85" l="1"/>
  <c r="E122" i="85" s="1"/>
  <c r="G122" i="85" s="1"/>
  <c r="C123" i="85" s="1"/>
  <c r="E46" i="23"/>
  <c r="D37" i="69"/>
  <c r="D39" i="69" s="1"/>
  <c r="E80" i="29"/>
  <c r="F95" i="29"/>
  <c r="F98" i="29" s="1"/>
  <c r="F99" i="29" s="1"/>
  <c r="E58" i="29"/>
  <c r="E63" i="29" s="1"/>
  <c r="E67" i="29" s="1"/>
  <c r="F9" i="29"/>
  <c r="F14" i="29" s="1"/>
  <c r="D53" i="21"/>
  <c r="G46" i="23" l="1"/>
  <c r="C47" i="23" s="1"/>
  <c r="D123" i="85"/>
  <c r="F15" i="29"/>
  <c r="E36" i="69"/>
  <c r="D41" i="69"/>
  <c r="D43" i="69" s="1"/>
  <c r="D46" i="69" s="1"/>
  <c r="E123" i="85" l="1"/>
  <c r="G123" i="85" s="1"/>
  <c r="C124" i="85" s="1"/>
  <c r="E47" i="85"/>
  <c r="E49" i="85" s="1"/>
  <c r="E273" i="85"/>
  <c r="E274" i="85" s="1"/>
  <c r="E278" i="85" s="1"/>
  <c r="D47" i="23"/>
  <c r="E57" i="85" l="1"/>
  <c r="E60" i="85" s="1"/>
  <c r="E61" i="85" s="1"/>
  <c r="E50" i="85" s="1"/>
  <c r="E51" i="85" s="1"/>
  <c r="D124" i="85"/>
  <c r="E47" i="23"/>
  <c r="E241" i="85" l="1"/>
  <c r="F256" i="85"/>
  <c r="F259" i="85" s="1"/>
  <c r="F260" i="85" s="1"/>
  <c r="E219" i="85"/>
  <c r="E224" i="85" s="1"/>
  <c r="E228" i="85" s="1"/>
  <c r="F170" i="85"/>
  <c r="F175" i="85" s="1"/>
  <c r="E124" i="85"/>
  <c r="G124" i="85" s="1"/>
  <c r="C125" i="85" s="1"/>
  <c r="G47" i="23"/>
  <c r="C48" i="23" s="1"/>
  <c r="F176" i="85" l="1"/>
  <c r="D125" i="85"/>
  <c r="D48" i="23"/>
  <c r="E48" i="23" l="1"/>
  <c r="E125" i="85"/>
  <c r="G125" i="85" s="1"/>
  <c r="C126" i="85" s="1"/>
  <c r="D126" i="85" l="1"/>
  <c r="G48" i="23"/>
  <c r="C49" i="23" s="1"/>
  <c r="D49" i="23" l="1"/>
  <c r="E126" i="85"/>
  <c r="G126" i="85" s="1"/>
  <c r="C127" i="85" s="1"/>
  <c r="D127" i="85" l="1"/>
  <c r="E49" i="23"/>
  <c r="G49" i="23" l="1"/>
  <c r="C50" i="23" s="1"/>
  <c r="E127" i="85"/>
  <c r="G127" i="85" s="1"/>
  <c r="C128" i="85" s="1"/>
  <c r="D128" i="85" l="1"/>
  <c r="D50" i="23"/>
  <c r="E50" i="23" l="1"/>
  <c r="E128" i="85"/>
  <c r="G128" i="85" s="1"/>
  <c r="C129" i="85" s="1"/>
  <c r="D129" i="85" l="1"/>
  <c r="E129" i="85" s="1"/>
  <c r="G129" i="85" s="1"/>
  <c r="C130" i="85" s="1"/>
  <c r="G50" i="23"/>
  <c r="C51" i="23" s="1"/>
  <c r="D130" i="85" l="1"/>
  <c r="E130" i="85" s="1"/>
  <c r="G130" i="85" s="1"/>
  <c r="C131" i="85" s="1"/>
  <c r="D51" i="23"/>
  <c r="E51" i="23" s="1"/>
  <c r="G51" i="23" s="1"/>
  <c r="C52" i="23" s="1"/>
  <c r="D52" i="23" l="1"/>
  <c r="E52" i="23" s="1"/>
  <c r="G52" i="23" s="1"/>
  <c r="C53" i="23" s="1"/>
  <c r="D131" i="85"/>
  <c r="E131" i="85" s="1"/>
  <c r="G131" i="85" s="1"/>
  <c r="C132" i="85" s="1"/>
  <c r="D132" i="85" l="1"/>
  <c r="E132" i="85" s="1"/>
  <c r="G132" i="85" s="1"/>
  <c r="C133" i="85" s="1"/>
  <c r="D53" i="23"/>
  <c r="E53" i="23" s="1"/>
  <c r="G53" i="23" s="1"/>
  <c r="C54" i="23" s="1"/>
  <c r="D54" i="23" l="1"/>
  <c r="E54" i="23" s="1"/>
  <c r="G54" i="23" s="1"/>
  <c r="C55" i="23" s="1"/>
  <c r="D133" i="85"/>
  <c r="E133" i="85" s="1"/>
  <c r="G133" i="85" s="1"/>
  <c r="C134" i="85" s="1"/>
  <c r="D134" i="85" l="1"/>
  <c r="E134" i="85" s="1"/>
  <c r="G134" i="85" s="1"/>
  <c r="C135" i="85" s="1"/>
  <c r="D55" i="23"/>
  <c r="E55" i="23" s="1"/>
  <c r="G55" i="23" s="1"/>
  <c r="C56" i="23" s="1"/>
  <c r="D56" i="23" l="1"/>
  <c r="E56" i="23" s="1"/>
  <c r="G56" i="23" s="1"/>
  <c r="C57" i="23" s="1"/>
  <c r="D135" i="85"/>
  <c r="D57" i="23" l="1"/>
  <c r="E135" i="85"/>
  <c r="G135" i="85" s="1"/>
  <c r="C136" i="85" s="1"/>
  <c r="F47" i="85"/>
  <c r="F49" i="85" s="1"/>
  <c r="F273" i="85"/>
  <c r="F274" i="85" s="1"/>
  <c r="F278" i="85" s="1"/>
  <c r="F57" i="85" l="1"/>
  <c r="F60" i="85" s="1"/>
  <c r="F61" i="85" s="1"/>
  <c r="F50" i="85" s="1"/>
  <c r="F51" i="85" s="1"/>
  <c r="D136" i="85"/>
  <c r="E57" i="23"/>
  <c r="F27" i="68"/>
  <c r="G256" i="85" l="1"/>
  <c r="G259" i="85" s="1"/>
  <c r="F241" i="85"/>
  <c r="G170" i="85"/>
  <c r="G175" i="85" s="1"/>
  <c r="F219" i="85"/>
  <c r="F224" i="85" s="1"/>
  <c r="F228" i="85" s="1"/>
  <c r="E136" i="85"/>
  <c r="G136" i="85" s="1"/>
  <c r="C137" i="85" s="1"/>
  <c r="E47" i="21"/>
  <c r="E49" i="21" s="1"/>
  <c r="F110" i="29"/>
  <c r="F26" i="68"/>
  <c r="G57" i="23"/>
  <c r="E95" i="22" l="1"/>
  <c r="E98" i="22" s="1"/>
  <c r="E99" i="22" s="1"/>
  <c r="E50" i="21" s="1"/>
  <c r="F30" i="68" s="1"/>
  <c r="F33" i="68" s="1"/>
  <c r="F34" i="68" s="1"/>
  <c r="F36" i="68" s="1"/>
  <c r="C58" i="23"/>
  <c r="E28" i="69"/>
  <c r="E31" i="69" s="1"/>
  <c r="D137" i="85"/>
  <c r="G176" i="85"/>
  <c r="F112" i="29"/>
  <c r="F114" i="29" s="1"/>
  <c r="G260" i="85"/>
  <c r="C262" i="85"/>
  <c r="G35" i="68" l="1"/>
  <c r="E8" i="69"/>
  <c r="E11" i="69" s="1"/>
  <c r="E20" i="69" s="1"/>
  <c r="D58" i="23"/>
  <c r="E137" i="85"/>
  <c r="G137" i="85" s="1"/>
  <c r="C138" i="85" s="1"/>
  <c r="E51" i="21"/>
  <c r="E58" i="23" l="1"/>
  <c r="D138" i="85"/>
  <c r="F58" i="29"/>
  <c r="F63" i="29" s="1"/>
  <c r="F67" i="29" s="1"/>
  <c r="E37" i="69"/>
  <c r="E39" i="69" s="1"/>
  <c r="G95" i="29"/>
  <c r="G98" i="29" s="1"/>
  <c r="G99" i="29" s="1"/>
  <c r="F80" i="29"/>
  <c r="G9" i="29"/>
  <c r="G14" i="29" s="1"/>
  <c r="E53" i="21"/>
  <c r="G15" i="29" l="1"/>
  <c r="E138" i="85"/>
  <c r="G138" i="85" s="1"/>
  <c r="C139" i="85" s="1"/>
  <c r="F36" i="69"/>
  <c r="E41" i="69"/>
  <c r="E43" i="69" s="1"/>
  <c r="E46" i="69" s="1"/>
  <c r="G58" i="23"/>
  <c r="C59" i="23" s="1"/>
  <c r="D139" i="85" l="1"/>
  <c r="D59" i="23"/>
  <c r="E59" i="23" l="1"/>
  <c r="E139" i="85"/>
  <c r="G139" i="85" s="1"/>
  <c r="C140" i="85" s="1"/>
  <c r="D140" i="85" l="1"/>
  <c r="G59" i="23"/>
  <c r="C60" i="23" s="1"/>
  <c r="D60" i="23" l="1"/>
  <c r="E140" i="85"/>
  <c r="G140" i="85" s="1"/>
  <c r="C141" i="85" s="1"/>
  <c r="E60" i="23" l="1"/>
  <c r="D141" i="85"/>
  <c r="E141" i="85" s="1"/>
  <c r="G141" i="85" s="1"/>
  <c r="C142" i="85" s="1"/>
  <c r="D142" i="85" l="1"/>
  <c r="E142" i="85" s="1"/>
  <c r="G142" i="85" s="1"/>
  <c r="C143" i="85" s="1"/>
  <c r="G60" i="23"/>
  <c r="C61" i="23" s="1"/>
  <c r="D61" i="23" l="1"/>
  <c r="D143" i="85"/>
  <c r="E143" i="85" s="1"/>
  <c r="G143" i="85" s="1"/>
  <c r="C144" i="85" s="1"/>
  <c r="D144" i="85" l="1"/>
  <c r="E144" i="85" s="1"/>
  <c r="G144" i="85" s="1"/>
  <c r="C145" i="85" s="1"/>
  <c r="E61" i="23"/>
  <c r="D145" i="85" l="1"/>
  <c r="E145" i="85" s="1"/>
  <c r="G145" i="85" s="1"/>
  <c r="C146" i="85" s="1"/>
  <c r="G61" i="23"/>
  <c r="C62" i="23" s="1"/>
  <c r="D62" i="23" l="1"/>
  <c r="D146" i="85"/>
  <c r="E146" i="85" s="1"/>
  <c r="G146" i="85" s="1"/>
  <c r="C147" i="85" s="1"/>
  <c r="D147" i="85" l="1"/>
  <c r="E62" i="23"/>
  <c r="G62" i="23" l="1"/>
  <c r="C63" i="23" s="1"/>
  <c r="E147" i="85"/>
  <c r="G147" i="85" s="1"/>
  <c r="C148" i="85" s="1"/>
  <c r="G47" i="85"/>
  <c r="G49" i="85" s="1"/>
  <c r="G273" i="85"/>
  <c r="G274" i="85" s="1"/>
  <c r="G278" i="85" s="1"/>
  <c r="G57" i="85" l="1"/>
  <c r="G60" i="85" s="1"/>
  <c r="G61" i="85" s="1"/>
  <c r="G50" i="85" s="1"/>
  <c r="G51" i="85" s="1"/>
  <c r="D148" i="85"/>
  <c r="D63" i="23"/>
  <c r="E63" i="23" s="1"/>
  <c r="G63" i="23" s="1"/>
  <c r="C64" i="23" s="1"/>
  <c r="H170" i="85" l="1"/>
  <c r="H175" i="85" s="1"/>
  <c r="H256" i="85"/>
  <c r="H259" i="85" s="1"/>
  <c r="H260" i="85" s="1"/>
  <c r="G219" i="85"/>
  <c r="G224" i="85" s="1"/>
  <c r="G228" i="85" s="1"/>
  <c r="G241" i="85"/>
  <c r="E148" i="85"/>
  <c r="G148" i="85" s="1"/>
  <c r="C149" i="85" s="1"/>
  <c r="D64" i="23"/>
  <c r="E64" i="23" s="1"/>
  <c r="G64" i="23" s="1"/>
  <c r="C65" i="23" s="1"/>
  <c r="D65" i="23" l="1"/>
  <c r="E65" i="23" s="1"/>
  <c r="G65" i="23" s="1"/>
  <c r="C66" i="23" s="1"/>
  <c r="D149" i="85"/>
  <c r="H176" i="85"/>
  <c r="E149" i="85" l="1"/>
  <c r="G149" i="85" s="1"/>
  <c r="C150" i="85" s="1"/>
  <c r="D66" i="23"/>
  <c r="E66" i="23" s="1"/>
  <c r="G66" i="23" s="1"/>
  <c r="C67" i="23" s="1"/>
  <c r="D67" i="23" l="1"/>
  <c r="E67" i="23" s="1"/>
  <c r="G67" i="23" s="1"/>
  <c r="C68" i="23" s="1"/>
  <c r="D150" i="85"/>
  <c r="E150" i="85" l="1"/>
  <c r="G150" i="85" s="1"/>
  <c r="C151" i="85" s="1"/>
  <c r="D68" i="23"/>
  <c r="E68" i="23" s="1"/>
  <c r="G68" i="23" s="1"/>
  <c r="C69" i="23" s="1"/>
  <c r="D69" i="23" l="1"/>
  <c r="D151" i="85"/>
  <c r="E151" i="85" l="1"/>
  <c r="G151" i="85" s="1"/>
  <c r="C152" i="85" s="1"/>
  <c r="E69" i="23"/>
  <c r="G27" i="68"/>
  <c r="F47" i="21" l="1"/>
  <c r="F49" i="21" s="1"/>
  <c r="G110" i="29"/>
  <c r="G26" i="68"/>
  <c r="G69" i="23"/>
  <c r="D152" i="85"/>
  <c r="E152" i="85" l="1"/>
  <c r="G152" i="85" s="1"/>
  <c r="C153" i="85" s="1"/>
  <c r="C70" i="23"/>
  <c r="F28" i="69"/>
  <c r="F31" i="69" s="1"/>
  <c r="G112" i="29"/>
  <c r="G114" i="29" s="1"/>
  <c r="F95" i="22"/>
  <c r="F98" i="22" s="1"/>
  <c r="F99" i="22" s="1"/>
  <c r="F50" i="21" s="1"/>
  <c r="G30" i="68" s="1"/>
  <c r="G33" i="68" s="1"/>
  <c r="G34" i="68" s="1"/>
  <c r="G36" i="68" s="1"/>
  <c r="F8" i="69" l="1"/>
  <c r="F11" i="69" s="1"/>
  <c r="F20" i="69" s="1"/>
  <c r="H35" i="68"/>
  <c r="D70" i="23"/>
  <c r="F51" i="21"/>
  <c r="D153" i="85"/>
  <c r="E153" i="85" s="1"/>
  <c r="G153" i="85" s="1"/>
  <c r="C154" i="85" s="1"/>
  <c r="D154" i="85" l="1"/>
  <c r="E154" i="85" s="1"/>
  <c r="G154" i="85" s="1"/>
  <c r="C155" i="85" s="1"/>
  <c r="G80" i="29"/>
  <c r="H95" i="29"/>
  <c r="H98" i="29" s="1"/>
  <c r="H9" i="29"/>
  <c r="H14" i="29" s="1"/>
  <c r="G58" i="29"/>
  <c r="G63" i="29" s="1"/>
  <c r="G67" i="29" s="1"/>
  <c r="F37" i="69"/>
  <c r="F39" i="69" s="1"/>
  <c r="F41" i="69" s="1"/>
  <c r="F53" i="21"/>
  <c r="E70" i="23"/>
  <c r="D155" i="85" l="1"/>
  <c r="E155" i="85" s="1"/>
  <c r="G155" i="85" s="1"/>
  <c r="C156" i="85" s="1"/>
  <c r="H99" i="29"/>
  <c r="D101" i="29"/>
  <c r="D32" i="62" s="1"/>
  <c r="G36" i="69"/>
  <c r="F43" i="69"/>
  <c r="F46" i="69" s="1"/>
  <c r="G70" i="23"/>
  <c r="C71" i="23" s="1"/>
  <c r="H15" i="29"/>
  <c r="D156" i="85" l="1"/>
  <c r="E156" i="85" s="1"/>
  <c r="G156" i="85" s="1"/>
  <c r="C157" i="85" s="1"/>
  <c r="D71" i="23"/>
  <c r="D157" i="85" l="1"/>
  <c r="E157" i="85" s="1"/>
  <c r="G157" i="85" s="1"/>
  <c r="C158" i="85" s="1"/>
  <c r="E71" i="23"/>
  <c r="D158" i="85" l="1"/>
  <c r="E158" i="85" s="1"/>
  <c r="G158" i="85" s="1"/>
  <c r="C159" i="85" s="1"/>
  <c r="G71" i="23"/>
  <c r="C72" i="23" s="1"/>
  <c r="D159" i="85" l="1"/>
  <c r="D72" i="23"/>
  <c r="E72" i="23" l="1"/>
  <c r="E159" i="85"/>
  <c r="G159" i="85" s="1"/>
  <c r="H47" i="85"/>
  <c r="H49" i="85" s="1"/>
  <c r="H273" i="85"/>
  <c r="H274" i="85" s="1"/>
  <c r="H278" i="85" s="1"/>
  <c r="B280" i="85" s="1"/>
  <c r="H57" i="85" l="1"/>
  <c r="H60" i="85" s="1"/>
  <c r="H61" i="85" s="1"/>
  <c r="H50" i="85" s="1"/>
  <c r="H51" i="85" s="1"/>
  <c r="G72" i="23"/>
  <c r="C73" i="23" s="1"/>
  <c r="H219" i="85" l="1"/>
  <c r="H224" i="85" s="1"/>
  <c r="H228" i="85" s="1"/>
  <c r="B230" i="85" s="1"/>
  <c r="B234" i="85" s="1"/>
  <c r="I170" i="85"/>
  <c r="I175" i="85" s="1"/>
  <c r="H241" i="85"/>
  <c r="B243" i="85" s="1"/>
  <c r="B246" i="85" s="1"/>
  <c r="I256" i="85"/>
  <c r="I259" i="85" s="1"/>
  <c r="I260" i="85" s="1"/>
  <c r="D73" i="23"/>
  <c r="E73" i="23" l="1"/>
  <c r="I176" i="85"/>
  <c r="B177" i="85" s="1"/>
  <c r="C179" i="85" l="1"/>
  <c r="G73" i="23"/>
  <c r="C74" i="23" s="1"/>
  <c r="D74" i="23" l="1"/>
  <c r="D179" i="85"/>
  <c r="C180" i="85"/>
  <c r="E74" i="23" l="1"/>
  <c r="E179" i="85"/>
  <c r="D180" i="85"/>
  <c r="F179" i="85" l="1"/>
  <c r="E180" i="85"/>
  <c r="G74" i="23"/>
  <c r="C75" i="23" s="1"/>
  <c r="G179" i="85" l="1"/>
  <c r="F180" i="85"/>
  <c r="D75" i="23"/>
  <c r="E75" i="23" s="1"/>
  <c r="G75" i="23" s="1"/>
  <c r="C76" i="23" s="1"/>
  <c r="D76" i="23" l="1"/>
  <c r="E76" i="23" s="1"/>
  <c r="G76" i="23" s="1"/>
  <c r="C77" i="23" s="1"/>
  <c r="H179" i="85"/>
  <c r="G180" i="85"/>
  <c r="D77" i="23" l="1"/>
  <c r="E77" i="23" s="1"/>
  <c r="G77" i="23" s="1"/>
  <c r="C78" i="23" s="1"/>
  <c r="I179" i="85"/>
  <c r="I180" i="85" s="1"/>
  <c r="H180" i="85"/>
  <c r="C181" i="85" l="1"/>
  <c r="E184" i="85" s="1"/>
  <c r="D78" i="23"/>
  <c r="E78" i="23" s="1"/>
  <c r="G78" i="23" s="1"/>
  <c r="C79" i="23" s="1"/>
  <c r="D79" i="23" l="1"/>
  <c r="E79" i="23" s="1"/>
  <c r="G79" i="23" s="1"/>
  <c r="C80" i="23" s="1"/>
  <c r="D80" i="23" l="1"/>
  <c r="E80" i="23" s="1"/>
  <c r="G80" i="23" s="1"/>
  <c r="C81" i="23" s="1"/>
  <c r="D81" i="23" l="1"/>
  <c r="E81" i="23" l="1"/>
  <c r="H27" i="68"/>
  <c r="G47" i="21" l="1"/>
  <c r="G49" i="21" s="1"/>
  <c r="H110" i="29"/>
  <c r="H26" i="68"/>
  <c r="G81" i="23"/>
  <c r="C82" i="23" l="1"/>
  <c r="G28" i="69"/>
  <c r="G31" i="69" s="1"/>
  <c r="H112" i="29"/>
  <c r="H114" i="29" s="1"/>
  <c r="G95" i="22"/>
  <c r="G98" i="22" s="1"/>
  <c r="G99" i="22" s="1"/>
  <c r="G50" i="21" s="1"/>
  <c r="H30" i="68" s="1"/>
  <c r="H33" i="68" s="1"/>
  <c r="H34" i="68" s="1"/>
  <c r="H36" i="68" s="1"/>
  <c r="G8" i="69" l="1"/>
  <c r="G11" i="69" s="1"/>
  <c r="G20" i="69" s="1"/>
  <c r="I35" i="68"/>
  <c r="G51" i="21"/>
  <c r="D82" i="23"/>
  <c r="H58" i="29" l="1"/>
  <c r="H63" i="29" s="1"/>
  <c r="H67" i="29" s="1"/>
  <c r="H80" i="29"/>
  <c r="G37" i="69"/>
  <c r="G39" i="69" s="1"/>
  <c r="I9" i="29"/>
  <c r="I14" i="29" s="1"/>
  <c r="I95" i="29"/>
  <c r="I98" i="29" s="1"/>
  <c r="I99" i="29" s="1"/>
  <c r="G53" i="21"/>
  <c r="E82" i="23"/>
  <c r="G82" i="23" l="1"/>
  <c r="C83" i="23" s="1"/>
  <c r="I15" i="29"/>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H47" i="21" l="1"/>
  <c r="H49" i="21" s="1"/>
  <c r="I110" i="29"/>
  <c r="E94" i="23"/>
  <c r="I26" i="68"/>
  <c r="G93" i="23"/>
  <c r="I112" i="29" l="1"/>
  <c r="I114" i="29" s="1"/>
  <c r="C116" i="29" s="1"/>
  <c r="D33" i="62" s="1"/>
  <c r="H95" i="22"/>
  <c r="H98" i="22" s="1"/>
  <c r="H99" i="22" s="1"/>
  <c r="H50" i="21" s="1"/>
  <c r="I30" i="68" s="1"/>
  <c r="I33" i="68" s="1"/>
  <c r="I34" i="68" s="1"/>
  <c r="I36" i="68" s="1"/>
  <c r="H8" i="69" s="1"/>
  <c r="H11" i="69" s="1"/>
  <c r="H20" i="69" s="1"/>
  <c r="H51" i="21" l="1"/>
  <c r="I80" i="29" l="1"/>
  <c r="C82" i="29" s="1"/>
  <c r="C85" i="29" s="1"/>
  <c r="D29" i="62" s="1"/>
  <c r="J95" i="29"/>
  <c r="J98" i="29" s="1"/>
  <c r="J99" i="29" s="1"/>
  <c r="I58" i="29"/>
  <c r="I63" i="29" s="1"/>
  <c r="I67" i="29" s="1"/>
  <c r="C69" i="29" s="1"/>
  <c r="C73" i="29" s="1"/>
  <c r="D31" i="62" s="1"/>
  <c r="H37" i="69"/>
  <c r="H39" i="69" s="1"/>
  <c r="H41" i="69" s="1"/>
  <c r="H43" i="69" s="1"/>
  <c r="H46" i="69" s="1"/>
  <c r="J9" i="29"/>
  <c r="J14" i="29" s="1"/>
  <c r="H53" i="21"/>
  <c r="J15" i="29" l="1"/>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<sst xmlns="http://schemas.openxmlformats.org/spreadsheetml/2006/main" count="1725" uniqueCount="805">
  <si>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</si>
  <si>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</si>
  <si>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</si>
  <si>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</si>
  <si>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</si>
  <si>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</si>
  <si>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</si>
  <si>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</si>
  <si>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</si>
  <si>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</si>
  <si>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</si>
  <si>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</si>
  <si>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</si>
  <si>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</si>
  <si>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</si>
  <si>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</si>
  <si>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</si>
  <si>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</si>
  <si>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</si>
  <si>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</si>
  <si>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</si>
  <si>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</si>
  <si>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</si>
  <si>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</si>
  <si>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</si>
  <si>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</si>
  <si>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</si>
  <si>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</si>
  <si>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</si>
  <si>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</si>
  <si>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</si>
  <si>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</si>
  <si>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</si>
  <si>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</si>
  <si>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</si>
  <si>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</si>
  <si>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</si>
  <si>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</si>
  <si>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</si>
  <si>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</si>
  <si>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</si>
  <si>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</si>
  <si>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</si>
  <si>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</si>
  <si>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</si>
  <si>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</si>
  <si>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</si>
  <si>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</si>
  <si>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</si>
  <si>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</si>
  <si>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</si>
  <si>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</si>
  <si>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</si>
  <si>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</si>
  <si>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</si>
  <si>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</si>
  <si>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</si>
  <si>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</si>
  <si>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</si>
  <si>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</si>
  <si>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</si>
  <si>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</si>
  <si>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</si>
  <si>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</si>
  <si>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</si>
  <si>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</si>
  <si>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</si>
  <si>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</si>
  <si>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</si>
  <si>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</si>
  <si>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</si>
  <si>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</si>
  <si>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</si>
  <si>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</si>
  <si>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</si>
  <si>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</si>
  <si>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</si>
  <si>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</si>
  <si>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</si>
  <si>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</si>
  <si>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</si>
  <si>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</si>
  <si>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</si>
  <si>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</si>
  <si>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</si>
  <si>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</si>
  <si>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</si>
  <si>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</si>
  <si>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</si>
  <si>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</si>
  <si>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</si>
  <si>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</si>
  <si>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</si>
  <si>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</si>
  <si>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</si>
  <si>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</si>
  <si>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</si>
  <si>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</si>
  <si>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</si>
  <si>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</si>
  <si>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</si>
  <si>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</si>
  <si>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</si>
  <si>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</si>
  <si>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</si>
  <si>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</si>
  <si>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</si>
  <si>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</si>
  <si>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</si>
  <si>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</si>
  <si>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</si>
  <si>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</si>
  <si>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</si>
  <si>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</si>
  <si>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</si>
  <si>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</si>
  <si>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</si>
  <si>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</si>
  <si>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</si>
  <si>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</si>
  <si>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</si>
  <si>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</si>
  <si>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</si>
  <si>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</si>
  <si>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</si>
  <si>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</si>
  <si>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</si>
  <si>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</si>
  <si>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</si>
  <si>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</si>
  <si>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</si>
  <si>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</si>
  <si>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</si>
  <si>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</si>
  <si>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</si>
  <si>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</si>
  <si>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</si>
  <si>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</si>
  <si>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</si>
  <si>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</si>
  <si>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</si>
  <si>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</si>
  <si>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</si>
  <si>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</si>
  <si>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</si>
  <si>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</si>
  <si>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</si>
  <si>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</si>
  <si>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</si>
  <si>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</si>
  <si>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</si>
  <si>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</si>
  <si>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</si>
  <si>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</si>
  <si>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</si>
  <si>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</si>
  <si>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</si>
  <si>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</si>
  <si>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</si>
  <si>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</si>
  <si>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</si>
  <si>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</si>
  <si>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</si>
  <si>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</si>
  <si>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</si>
  <si>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</si>
  <si>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</si>
  <si>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</si>
  <si>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</si>
  <si>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</si>
  <si>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</si>
  <si>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</si>
  <si>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</si>
  <si>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</si>
  <si>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</si>
  <si>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</si>
  <si>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</si>
  <si>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</si>
  <si>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</si>
  <si>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</si>
  <si>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</si>
  <si>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</si>
  <si>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</si>
  <si>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</si>
  <si>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</si>
  <si>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</si>
  <si>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</si>
  <si>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</si>
  <si>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</si>
  <si>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</si>
  <si>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</si>
  <si>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</si>
  <si>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</si>
  <si>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</si>
  <si>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</si>
  <si>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</si>
  <si>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</si>
  <si>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</si>
  <si>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</si>
  <si>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</si>
  <si>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</si>
  <si>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</si>
  <si>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</si>
  <si>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</si>
  <si>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</si>
  <si>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</si>
  <si>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</si>
  <si>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</si>
  <si>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</si>
  <si>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</si>
  <si>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</si>
  <si>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</si>
  <si>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</si>
  <si>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</si>
  <si>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</si>
  <si>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</si>
  <si>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</si>
  <si>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</si>
  <si>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</si>
  <si>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</si>
  <si>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</si>
  <si>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</si>
  <si>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</si>
  <si>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</si>
  <si>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</si>
  <si>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</si>
  <si>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</si>
  <si>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</si>
  <si>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</si>
  <si>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</si>
  <si>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</si>
  <si>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</si>
  <si>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</si>
  <si>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</si>
  <si>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</si>
  <si>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</si>
  <si>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</si>
  <si>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</si>
  <si>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</si>
  <si>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</si>
  <si>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</si>
  <si>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</si>
  <si>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</si>
  <si>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</si>
  <si>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</si>
  <si>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</si>
  <si>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</si>
  <si>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</si>
  <si>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</si>
  <si>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</si>
  <si>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</si>
  <si>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</si>
  <si>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</si>
  <si>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</si>
  <si>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</si>
  <si>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</si>
  <si>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</si>
  <si>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</si>
  <si>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</si>
  <si>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</si>
  <si>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</si>
  <si>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</si>
  <si>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</si>
  <si>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</si>
  <si>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</si>
  <si>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</si>
  <si>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</si>
  <si>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</si>
  <si>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</si>
  <si>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</si>
  <si>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</si>
  <si>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</si>
  <si>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</si>
  <si>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</si>
  <si>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</si>
  <si>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</si>
  <si>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</si>
  <si>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</si>
  <si>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</si>
  <si>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</si>
  <si>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</si>
  <si>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</si>
  <si>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</si>
  <si>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</si>
  <si>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</si>
  <si>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</si>
  <si>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</si>
  <si>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</si>
  <si>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</si>
  <si>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</si>
  <si>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</si>
  <si>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</si>
  <si>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</si>
  <si>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</si>
  <si>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</si>
  <si>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</si>
  <si>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</si>
  <si>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</si>
  <si>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</si>
  <si>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</si>
  <si>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</si>
  <si>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</si>
  <si>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</si>
  <si>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</si>
  <si>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</si>
  <si>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</si>
  <si>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</si>
  <si>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</si>
  <si>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</si>
  <si>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</si>
  <si>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</si>
  <si>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</si>
  <si>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</si>
  <si>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</si>
  <si>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</si>
  <si>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</si>
  <si>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</si>
  <si>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</si>
  <si>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</si>
  <si>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</si>
  <si>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</si>
  <si>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</si>
  <si>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</si>
  <si>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</si>
  <si>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</si>
  <si>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</si>
  <si>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</si>
  <si>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</si>
  <si>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</si>
  <si>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</si>
  <si>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</si>
  <si>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</si>
  <si>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</si>
  <si>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</si>
  <si>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</si>
  <si>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</si>
  <si>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</si>
  <si>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</si>
  <si>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</si>
  <si>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</si>
  <si>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</si>
  <si>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</si>
  <si>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</si>
  <si>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</si>
  <si>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</si>
  <si>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</si>
  <si>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</si>
  <si>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</si>
  <si>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</si>
  <si>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</si>
  <si>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</si>
  <si>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</si>
  <si>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</si>
  <si>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</si>
  <si>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</si>
  <si>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</si>
  <si>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</si>
  <si>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</si>
  <si>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</si>
  <si>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2 TPH</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</si>
  <si>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</si>
  <si>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</si>
  <si>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</si>
  <si>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</si>
  <si>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</si>
  <si>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</si>
  <si>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</si>
  <si>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</si>
  <si>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</si>
  <si>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</si>
  <si>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</si>
  <si>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</si>
  <si>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</si>
  <si>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</si>
  <si>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</si>
  <si>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</si>
  <si>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</si>
  <si>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</si>
  <si>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</si>
  <si>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</si>
  <si>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</si>
  <si>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</si>
  <si>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</si>
  <si>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</si>
  <si>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</si>
  <si>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</si>
  <si>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</si>
  <si>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</si>
  <si>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</si>
  <si>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</si>
  <si>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</si>
  <si>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</si>
  <si>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</si>
  <si>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</si>
  <si>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</si>
  <si>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</si>
  <si>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</si>
  <si>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</si>
  <si>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</si>
  <si>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</si>
  <si>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</si>
  <si>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</si>
  <si>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</si>
  <si>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</si>
  <si>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</si>
  <si>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</si>
  <si>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</si>
  <si>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</si>
  <si>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</si>
  <si>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</si>
  <si>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</si>
  <si>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</si>
  <si>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</si>
  <si>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</si>
  <si>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</si>
  <si>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</si>
  <si>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</si>
  <si>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</si>
  <si>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</si>
  <si>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</si>
  <si>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</si>
  <si>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</si>
  <si>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</si>
  <si>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</si>
  <si>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</si>
  <si>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</si>
  <si>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</si>
  <si>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</si>
  <si>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</si>
  <si>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</si>
  <si>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</si>
  <si>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</si>
  <si>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</si>
  <si>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</si>
  <si>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</si>
  <si>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</si>
  <si>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</si>
  <si>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</si>
  <si>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</si>
  <si>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</si>
  <si>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</si>
  <si>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</si>
  <si>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</si>
  <si>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</si>
  <si>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</si>
  <si>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</si>
  <si>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</si>
  <si>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</si>
  <si>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</si>
  <si>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</si>
  <si>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</si>
  <si>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</si>
  <si>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</si>
  <si>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</si>
  <si>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</si>
  <si>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</si>
  <si>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</si>
  <si>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</si>
  <si>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</si>
  <si>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</si>
  <si>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</si>
  <si>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</si>
  <si>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</si>
  <si>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</si>
  <si>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</si>
  <si>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</si>
  <si>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</si>
  <si>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</si>
  <si>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</si>
  <si>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</si>
  <si>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</si>
  <si>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</si>
  <si>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</si>
  <si>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</si>
  <si>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</si>
  <si>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</si>
  <si>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</si>
  <si>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</si>
  <si>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</si>
  <si>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</si>
  <si>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</si>
  <si>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</si>
  <si>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</si>
  <si>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</si>
  <si>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</si>
  <si>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</si>
  <si>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</si>
  <si>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</si>
  <si>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</si>
  <si>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</si>
  <si>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</si>
  <si>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</si>
  <si>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</si>
  <si>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</si>
  <si>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</si>
  <si>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</si>
  <si>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</si>
  <si>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</si>
  <si>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</si>
  <si>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</si>
  <si>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</si>
  <si>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</si>
  <si>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</si>
  <si>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</si>
  <si>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</si>
  <si>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</si>
  <si>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</si>
  <si>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</si>
  <si>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</si>
  <si>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</si>
  <si>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</si>
  <si>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</si>
  <si>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</si>
  <si>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</si>
  <si>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</si>
  <si>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</si>
  <si>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</si>
  <si>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</si>
  <si>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</si>
  <si>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</si>
  <si>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</si>
  <si>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</si>
  <si>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</si>
  <si>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</si>
  <si>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</si>
  <si>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</si>
  <si>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</si>
  <si>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</si>
  <si>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</si>
  <si>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</si>
  <si>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</si>
  <si>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</si>
  <si>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</si>
  <si>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</si>
  <si>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</si>
  <si>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</si>
  <si>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</si>
  <si>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</si>
  <si>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</si>
  <si>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</si>
  <si>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</si>
  <si>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</si>
  <si>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</si>
  <si>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</si>
  <si>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</si>
  <si>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</si>
  <si>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</si>
  <si>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</si>
  <si>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</si>
  <si>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</si>
  <si>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</si>
  <si>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</si>
  <si>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</si>
  <si>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</si>
  <si>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</si>
  <si>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</si>
  <si>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</si>
  <si>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</si>
  <si>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</si>
  <si>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</si>
  <si>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</si>
  <si>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</si>
  <si>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</si>
  <si>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</si>
  <si>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</si>
  <si>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</si>
  <si>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</si>
  <si>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</si>
  <si>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</si>
  <si>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</si>
  <si>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</si>
  <si>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</si>
  <si>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</si>
  <si>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</si>
  <si>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</si>
  <si>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</si>
  <si>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</si>
  <si>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</si>
  <si>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</si>
  <si>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</si>
  <si>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</si>
  <si>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</si>
  <si>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</si>
  <si>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</si>
  <si>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</si>
  <si>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</si>
  <si>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</si>
  <si>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</si>
  <si>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</si>
  <si>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</si>
  <si>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</si>
  <si>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</si>
  <si>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</si>
  <si>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</si>
  <si>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</si>
  <si>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</si>
  <si>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</si>
  <si>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</si>
  <si>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</si>
  <si>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</si>
  <si>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</si>
  <si>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</si>
  <si>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</si>
  <si>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</si>
  <si>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</si>
  <si>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</si>
  <si>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</si>
  <si>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</si>
  <si>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</si>
  <si>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</si>
  <si>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</si>
  <si>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</si>
  <si>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</si>
  <si>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</si>
  <si>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</si>
  <si>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</si>
  <si>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</si>
  <si>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</si>
  <si>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</si>
  <si>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</si>
  <si>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</si>
  <si>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</si>
  <si>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</si>
  <si>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</si>
  <si>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</si>
  <si>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</si>
  <si>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</si>
  <si>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</si>
  <si>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</si>
  <si>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</si>
  <si>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</si>
  <si>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</si>
  <si>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</si>
  <si>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</si>
  <si>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</si>
  <si>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</si>
  <si>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</si>
  <si>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</si>
  <si>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</si>
  <si>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</si>
  <si>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</si>
  <si>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</si>
  <si>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</si>
  <si>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</si>
  <si>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</si>
  <si>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</si>
  <si>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</si>
  <si>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</si>
  <si>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</si>
  <si>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</si>
  <si>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</si>
  <si>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</si>
  <si>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</si>
  <si>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</si>
  <si>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</si>
  <si>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</si>
  <si>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</si>
  <si>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</si>
  <si>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</si>
  <si>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</si>
  <si>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</si>
  <si>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</si>
  <si>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</si>
  <si>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</si>
  <si>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</si>
  <si>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</si>
  <si>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</si>
  <si>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</si>
  <si>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</si>
  <si>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</si>
  <si>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</si>
  <si>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</si>
  <si>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</si>
  <si>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</si>
  <si>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</si>
  <si>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</si>
  <si>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</si>
  <si>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</si>
  <si>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</si>
  <si>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</si>
  <si>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</si>
  <si>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</si>
  <si>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</si>
  <si>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</si>
  <si>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</si>
  <si>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</si>
  <si>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</si>
  <si>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</si>
  <si>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</si>
  <si>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</si>
  <si>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</si>
  <si>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</si>
  <si>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</si>
  <si>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</si>
  <si>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</si>
  <si>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</si>
  <si>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</si>
  <si>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</si>
  <si>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</si>
  <si>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</si>
  <si>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</si>
  <si>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</si>
  <si>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</si>
  <si>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</si>
  <si>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</si>
  <si>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</si>
  <si>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</si>
  <si>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</si>
  <si>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</si>
  <si>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No. of Hours in  day</t>
  </si>
  <si>
    <t>No. of Operational Days</t>
  </si>
  <si>
    <t>Capacity Utilization</t>
  </si>
  <si>
    <t>No. of operational days</t>
  </si>
  <si>
    <t>Total Material to be processed (In MT)</t>
  </si>
  <si>
    <t>Output- Quantity for sale (In MT)</t>
  </si>
  <si>
    <t>Oil Cake</t>
  </si>
  <si>
    <t>Oil</t>
  </si>
  <si>
    <t>packaging Exp- Oil Packaging</t>
  </si>
  <si>
    <t>Oil Cake Packlaging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</si>
  <si>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</si>
  <si>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</si>
  <si>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</si>
  <si>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</si>
  <si>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</si>
  <si>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</si>
  <si>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</si>
  <si>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</si>
  <si>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</si>
  <si>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</si>
  <si>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</si>
  <si>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</si>
  <si>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</si>
  <si>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</si>
  <si>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</si>
  <si>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</si>
  <si>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</si>
  <si>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</si>
  <si>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</si>
  <si>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Benefit to farmer</t>
  </si>
  <si>
    <t>Current Scenario</t>
  </si>
  <si>
    <t>Average current productivity per acre of Maize(in MT)</t>
  </si>
  <si>
    <t>Total Production of Maize (in MT)</t>
  </si>
  <si>
    <t>Cultivation to harvesting expenditure per acres</t>
  </si>
  <si>
    <t xml:space="preserve">Total Expenditure </t>
  </si>
  <si>
    <t>Packaging</t>
  </si>
  <si>
    <t>Net Revenue to Farmers</t>
  </si>
  <si>
    <t>Rate of Onion per MT</t>
  </si>
  <si>
    <t>Total Expenditure</t>
  </si>
  <si>
    <t>Post Intervention</t>
  </si>
  <si>
    <t>Total Revenue (In Rs.)</t>
  </si>
  <si>
    <t>Increase in Farmers income per acres after FPC intervention</t>
  </si>
  <si>
    <t>Total Land available for Onion per Acre</t>
  </si>
  <si>
    <t>Percentage%</t>
  </si>
  <si>
    <t>Lease</t>
  </si>
  <si>
    <t>Lease Deed</t>
  </si>
  <si>
    <t>MT/Hr</t>
  </si>
  <si>
    <t>wastage</t>
  </si>
  <si>
    <t>Ground Nut Seed</t>
  </si>
  <si>
    <t>Sunflower Seed</t>
  </si>
  <si>
    <t>Safflower Seed</t>
  </si>
  <si>
    <t xml:space="preserve">Outword- Transportation Cost </t>
  </si>
  <si>
    <t>Machine Mainteance</t>
  </si>
  <si>
    <t>Inword-Transportation Charges</t>
  </si>
  <si>
    <t>Outword-Transportation Charges</t>
  </si>
  <si>
    <t>Output- Quantity for sale (In Liters)</t>
  </si>
  <si>
    <t>Oil Cake (In Kg)</t>
  </si>
  <si>
    <t>Total Material to be processed (In Kg)</t>
  </si>
  <si>
    <t>Input (In Kg)</t>
  </si>
  <si>
    <t>25 Litres</t>
  </si>
  <si>
    <t>Activity 1 - Flour Mill</t>
  </si>
  <si>
    <t>Activity 2 - Cold Press Oil</t>
  </si>
  <si>
    <t>Operational days in a year (Days)</t>
  </si>
  <si>
    <t>Whole Year</t>
  </si>
  <si>
    <t xml:space="preserve">Dell Laptop </t>
  </si>
  <si>
    <t>Job Work</t>
  </si>
  <si>
    <t>Fire extingnisher</t>
  </si>
  <si>
    <t>Construction of Warehouse</t>
  </si>
  <si>
    <t>Sq. Mtrs.</t>
  </si>
  <si>
    <t>Kubota Tractor MU (45HP) 2WD</t>
  </si>
  <si>
    <t>Hydrolic Trailor</t>
  </si>
  <si>
    <t>Lab Equipment</t>
  </si>
  <si>
    <t>Compact Universal Digital Data Logging Moisture Meter</t>
  </si>
  <si>
    <t>Seed/ Grain Divider (Boerner Type)</t>
  </si>
  <si>
    <t>Hand Operated Stitching Machine</t>
  </si>
  <si>
    <t>Cannon Image Printer</t>
  </si>
  <si>
    <t>Hikvision DS 2CD 2143G0-I 4 MP IP Camera with 2 year warrenty</t>
  </si>
  <si>
    <t>Hikvision DS 7PO8NI-K2 8 Channel NVR with 2 year warrenty</t>
  </si>
  <si>
    <t>Toshiba 4 TB Harddisk Drive</t>
  </si>
  <si>
    <t>Hikvision DS - 3E0510P 8 Port Gigabit Switch with 1 year warrenty</t>
  </si>
  <si>
    <t>D Link Lan cable 305 mtrs</t>
  </si>
  <si>
    <t>Cofe CF- 4G7007 300MBPS 4 G Router</t>
  </si>
  <si>
    <t>Tally Prime Gold Version Single User</t>
  </si>
  <si>
    <t>Inverter</t>
  </si>
  <si>
    <t>12 V 220 AH Amaron Battery Tubular</t>
  </si>
  <si>
    <t>office Cupboard</t>
  </si>
  <si>
    <t>Office Table</t>
  </si>
  <si>
    <t>Office Chair</t>
  </si>
  <si>
    <t>Office Chair Plastic</t>
  </si>
  <si>
    <t>office Cabin 12X14X9</t>
  </si>
  <si>
    <t>Stored Presure (ABC Dry Chemical Powder)</t>
  </si>
  <si>
    <t>Mechanical Foam</t>
  </si>
  <si>
    <t>GST @ 18%</t>
  </si>
  <si>
    <t>Insurance</t>
  </si>
  <si>
    <t>Construction of Warehouse  (1020 MT)</t>
  </si>
  <si>
    <t>Activity 2 - 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</si>
</sst>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1"/>
      <color theme="0"/>
      <name val="Garamond"/>
      <family val="1"/>
    </font>
    <font>
      <sz val="11"/>
      <color theme="1"/>
      <name val="Garamond"/>
      <family val="1"/>
    </font>
    <font>
      <b/>
      <sz val="11"/>
      <color theme="1"/>
      <name val="Garamond"/>
      <family val="1"/>
    </font>
    <font>
      <sz val="10"/>
      <color theme="1"/>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8" fillId="0" borderId="1" xfId="3"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67" fontId="0" fillId="0" borderId="1" xfId="3" applyNumberFormat="1" applyFont="1" applyBorder="1"/>
    <xf numFmtId="169" fontId="44" fillId="0" borderId="1" xfId="2" applyNumberFormat="1" applyFont="1" applyFill="1" applyBorder="1" applyAlignment="1">
      <alignment horizontal="right" vertical="center" wrapText="1"/>
    </xf>
    <xf numFmtId="9" fontId="67" fillId="12" borderId="1" xfId="0" applyNumberFormat="1" applyFont="1" applyFill="1" applyBorder="1" applyAlignment="1">
      <alignment wrapText="1"/>
    </xf>
    <xf numFmtId="0" fontId="68" fillId="0" borderId="0" xfId="0" applyFont="1"/>
    <xf numFmtId="0" fontId="68" fillId="0" borderId="1" xfId="0" applyFont="1" applyBorder="1"/>
    <xf numFmtId="2" fontId="68" fillId="0" borderId="1" xfId="0" applyNumberFormat="1" applyFont="1" applyBorder="1"/>
    <xf numFmtId="169" fontId="68" fillId="0" borderId="1" xfId="2" applyNumberFormat="1" applyFont="1" applyBorder="1"/>
    <xf numFmtId="164" fontId="68" fillId="0" borderId="1" xfId="2" applyFont="1" applyBorder="1"/>
    <xf numFmtId="178" fontId="68" fillId="0" borderId="1" xfId="2" applyNumberFormat="1" applyFont="1" applyBorder="1"/>
    <xf numFmtId="0" fontId="69" fillId="0" borderId="1" xfId="0" applyFont="1" applyBorder="1"/>
    <xf numFmtId="169" fontId="68" fillId="0" borderId="0" xfId="2" applyNumberFormat="1" applyFont="1" applyBorder="1"/>
    <xf numFmtId="164" fontId="68" fillId="0" borderId="1" xfId="0" applyNumberFormat="1" applyFont="1" applyBorder="1"/>
    <xf numFmtId="2" fontId="68" fillId="0" borderId="0" xfId="0" applyNumberFormat="1" applyFont="1"/>
    <xf numFmtId="2" fontId="69" fillId="0" borderId="1" xfId="0" applyNumberFormat="1" applyFont="1" applyBorder="1"/>
    <xf numFmtId="164" fontId="69" fillId="0" borderId="1" xfId="2" applyFont="1" applyBorder="1"/>
    <xf numFmtId="169" fontId="69" fillId="0" borderId="1" xfId="2" applyNumberFormat="1" applyFont="1" applyBorder="1"/>
    <xf numFmtId="164" fontId="69" fillId="0" borderId="1" xfId="0" applyNumberFormat="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67" fontId="0" fillId="0" borderId="1" xfId="0" applyNumberFormat="1" applyBorder="1"/>
    <xf numFmtId="10" fontId="0" fillId="0" borderId="1"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0" fontId="42" fillId="0" borderId="1" xfId="0" applyFont="1" applyBorder="1" applyAlignment="1">
      <alignment horizontal="left" vertical="center" wrapText="1"/>
    </xf>
    <xf numFmtId="167" fontId="41" fillId="0" borderId="1" xfId="3" applyNumberFormat="1" applyFont="1" applyFill="1" applyBorder="1" applyAlignment="1">
      <alignment horizontal="center" vertical="center" wrapText="1"/>
    </xf>
    <xf numFmtId="0" fontId="41" fillId="0" borderId="9" xfId="0" applyFont="1" applyBorder="1" applyAlignment="1">
      <alignment horizontal="right" vertical="center" wrapText="1"/>
    </xf>
    <xf numFmtId="0" fontId="41" fillId="0" borderId="10" xfId="0" applyFont="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 fillId="0" borderId="1" xfId="2" applyNumberFormat="1" applyFont="1" applyBorder="1"/>
    <xf numFmtId="169" fontId="1" fillId="0" borderId="1" xfId="2" applyNumberFormat="1" applyFont="1" applyBorder="1"/>
    <xf numFmtId="169" fontId="28" fillId="0" borderId="1" xfId="2" applyNumberFormat="1" applyFont="1" applyFill="1" applyBorder="1"/>
    <xf numFmtId="167" fontId="28" fillId="0" borderId="1" xfId="0" applyNumberFormat="1" applyFont="1" applyBorder="1"/>
    <xf numFmtId="169" fontId="0" fillId="0" borderId="1" xfId="2" applyNumberFormat="1" applyFont="1" applyFill="1" applyBorder="1"/>
    <xf numFmtId="9" fontId="27" fillId="0" borderId="1" xfId="1" applyFont="1" applyFill="1" applyBorder="1"/>
    <xf numFmtId="43" fontId="0" fillId="0" borderId="1" xfId="0" applyNumberFormat="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70" fillId="0" borderId="10" xfId="0" applyFont="1" applyBorder="1"/>
    <xf numFmtId="0" fontId="70" fillId="0" borderId="10" xfId="0" applyFont="1" applyBorder="1" applyAlignment="1">
      <alignment horizontal="center"/>
    </xf>
    <xf numFmtId="169" fontId="29" fillId="0" borderId="20" xfId="2" applyNumberFormat="1" applyFont="1" applyFill="1" applyBorder="1" applyAlignment="1">
      <alignment vertical="center" wrapText="1"/>
    </xf>
    <xf numFmtId="169" fontId="29" fillId="0" borderId="14" xfId="2" applyNumberFormat="1" applyFont="1" applyFill="1" applyBorder="1" applyAlignment="1">
      <alignment vertical="center" wrapText="1"/>
    </xf>
    <xf numFmtId="0" fontId="41" fillId="0" borderId="23" xfId="0" applyFont="1" applyBorder="1" applyAlignment="1">
      <alignment horizontal="right" vertical="center" wrapText="1"/>
    </xf>
    <xf numFmtId="0" fontId="41" fillId="0" borderId="24" xfId="0" applyFont="1" applyBorder="1" applyAlignment="1">
      <alignment horizontal="right" vertical="center" wrapText="1"/>
    </xf>
    <xf numFmtId="169" fontId="2" fillId="0" borderId="1" xfId="0" applyNumberFormat="1" applyFont="1" applyBorder="1"/>
    <xf numFmtId="0" fontId="12" fillId="0" borderId="9" xfId="0" applyFont="1" applyBorder="1" applyAlignment="1">
      <alignment horizontal="left" vertical="center"/>
    </xf>
    <xf numFmtId="0" fontId="13" fillId="0" borderId="9" xfId="0" applyFont="1" applyBorder="1" applyAlignment="1">
      <alignment horizontal="right" vertical="center"/>
    </xf>
    <xf numFmtId="0" fontId="13" fillId="0" borderId="9" xfId="0" applyFont="1" applyBorder="1" applyAlignment="1">
      <alignment horizontal="left" vertical="center"/>
    </xf>
    <xf numFmtId="9" fontId="27" fillId="6" borderId="1" xfId="1" applyFont="1" applyFill="1" applyBorder="1"/>
    <xf numFmtId="0" fontId="41" fillId="0" borderId="8" xfId="0" applyFont="1" applyBorder="1" applyAlignment="1">
      <alignment horizontal="right" vertical="center" wrapText="1"/>
    </xf>
    <xf numFmtId="0" fontId="41" fillId="0" borderId="1" xfId="0" applyFont="1" applyBorder="1" applyAlignment="1">
      <alignment horizontal="left" vertical="center" wrapText="1"/>
    </xf>
    <xf numFmtId="0" fontId="61" fillId="10" borderId="1" xfId="0" applyFont="1" applyFill="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59" fillId="0" borderId="1" xfId="0" applyFont="1" applyBorder="1" applyAlignment="1">
      <alignment horizontal="center" vertical="center" wrapText="1"/>
    </xf>
    <xf numFmtId="0" fontId="2" fillId="0" borderId="0" xfId="0" applyFont="1" applyAlignment="1">
      <alignment horizontal="center"/>
    </xf>
    <xf numFmtId="0" fontId="26"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xf numFmtId="0" fontId="67" fillId="12" borderId="15" xfId="0" applyFont="1" applyFill="1" applyBorder="1" applyAlignment="1">
      <alignment horizontal="center" wrapText="1"/>
    </xf>
    <xf numFmtId="0" fontId="67" fillId="12" borderId="21" xfId="0" applyFont="1" applyFill="1" applyBorder="1" applyAlignment="1">
      <alignment horizontal="center" wrapText="1"/>
    </xf>
    <xf numFmtId="10" fontId="0" fillId="0" borderId="20" xfId="1" applyNumberFormat="1" applyFont="1" applyBorder="1" applyAlignment="1">
      <alignment horizontal="center" vertical="center"/>
    </xf>
    <xf numFmtId="10" fontId="0" fillId="0" borderId="2" xfId="1" applyNumberFormat="1" applyFont="1" applyBorder="1" applyAlignment="1">
      <alignment horizontal="center" vertical="center"/>
    </xf>
    <xf numFmtId="10" fontId="0" fillId="0" borderId="14" xfId="1" applyNumberFormat="1" applyFont="1" applyBorder="1" applyAlignment="1">
      <alignment horizontal="center" vertical="center"/>
    </xf>
    <xf numFmtId="9" fontId="0" fillId="0" borderId="1" xfId="1" applyFont="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row r="17">
          <cell r="B17">
            <v>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topLeftCell="A6" workbookViewId="0">
      <selection activeCell="A6" sqref="A6:E6"/>
    </sheetView>
  </sheetViews>
  <sheetFormatPr defaultColWidth="9.1796875" defaultRowHeight="14.5"/>
  <cols>
    <col min="1" max="1" width="12.81640625" style="303" customWidth="1"/>
    <col min="2" max="2" width="56" style="303" customWidth="1"/>
    <col min="3" max="3" width="31.453125" style="303" customWidth="1"/>
    <col min="4" max="4" width="26.453125" style="303" customWidth="1"/>
    <col min="5" max="5" width="29.453125" style="303" customWidth="1"/>
    <col min="6" max="16384" width="9.1796875" style="303"/>
  </cols>
  <sheetData>
    <row r="2" spans="1:5" ht="26.25" customHeight="1">
      <c r="A2" s="393" t="s">
        <v>637</v>
      </c>
      <c r="B2" s="393"/>
      <c r="C2" s="393"/>
      <c r="D2" s="393"/>
      <c r="E2" s="393"/>
    </row>
    <row r="3" spans="1:5" ht="26.25" customHeight="1">
      <c r="A3" s="394" t="s">
        <v>633</v>
      </c>
      <c r="B3" s="394"/>
      <c r="C3" s="394"/>
      <c r="D3" s="394"/>
      <c r="E3" s="394"/>
    </row>
    <row r="4" spans="1:5" ht="23.25" customHeight="1">
      <c r="A4" s="392" t="s">
        <v>604</v>
      </c>
      <c r="B4" s="392"/>
      <c r="C4" s="392"/>
      <c r="D4" s="392"/>
      <c r="E4" s="392"/>
    </row>
    <row r="5" spans="1:5" ht="240.75" customHeight="1">
      <c r="A5" s="395" t="s">
        <v>638</v>
      </c>
      <c r="B5" s="395"/>
      <c r="C5" s="395"/>
      <c r="D5" s="395"/>
      <c r="E5" s="395"/>
    </row>
    <row r="6" spans="1:5" ht="23.25" customHeight="1">
      <c r="A6" s="392" t="s">
        <v>605</v>
      </c>
      <c r="B6" s="392"/>
      <c r="C6" s="392"/>
      <c r="D6" s="392"/>
      <c r="E6" s="392"/>
    </row>
    <row r="7" spans="1:5" ht="108" customHeight="1">
      <c r="A7" s="402" t="s">
        <v>673</v>
      </c>
      <c r="B7" s="403"/>
      <c r="C7" s="403"/>
      <c r="D7" s="403"/>
      <c r="E7" s="404"/>
    </row>
    <row r="8" spans="1:5" ht="23.25" customHeight="1">
      <c r="A8" s="405" t="s">
        <v>639</v>
      </c>
      <c r="B8" s="405"/>
      <c r="C8" s="405"/>
      <c r="D8" s="405"/>
      <c r="E8" s="405"/>
    </row>
    <row r="9" spans="1:5" ht="105.75" customHeight="1">
      <c r="A9" s="395" t="s">
        <v>677</v>
      </c>
      <c r="B9" s="395"/>
      <c r="C9" s="395"/>
      <c r="D9" s="395"/>
      <c r="E9" s="395"/>
    </row>
    <row r="10" spans="1:5" ht="23.5">
      <c r="A10" s="392" t="s">
        <v>631</v>
      </c>
      <c r="B10" s="392"/>
      <c r="C10" s="392"/>
      <c r="D10" s="392"/>
      <c r="E10" s="392"/>
    </row>
    <row r="11" spans="1:5">
      <c r="A11" s="303" t="s">
        <v>629</v>
      </c>
      <c r="B11" s="303" t="s">
        <v>151</v>
      </c>
    </row>
    <row r="12" spans="1:5" ht="20.25" customHeight="1">
      <c r="A12" s="306"/>
      <c r="B12" s="406" t="s">
        <v>395</v>
      </c>
      <c r="C12" s="407"/>
      <c r="D12" s="407"/>
      <c r="E12" s="408"/>
    </row>
    <row r="13" spans="1:5">
      <c r="A13" s="307"/>
      <c r="B13" s="396" t="s">
        <v>396</v>
      </c>
      <c r="C13" s="396"/>
      <c r="D13" s="396"/>
      <c r="E13" s="396"/>
    </row>
    <row r="14" spans="1:5">
      <c r="A14" s="397"/>
      <c r="B14" s="397"/>
      <c r="C14" s="397"/>
      <c r="D14" s="397"/>
      <c r="E14" s="398"/>
    </row>
    <row r="15" spans="1:5" ht="23.5">
      <c r="A15" s="392" t="s">
        <v>632</v>
      </c>
      <c r="B15" s="392"/>
      <c r="C15" s="392"/>
      <c r="D15" s="392"/>
      <c r="E15" s="392"/>
    </row>
    <row r="16" spans="1:5">
      <c r="A16" s="304" t="s">
        <v>606</v>
      </c>
      <c r="B16" s="304" t="s">
        <v>640</v>
      </c>
      <c r="C16" s="304" t="s">
        <v>445</v>
      </c>
      <c r="D16" s="304" t="s">
        <v>607</v>
      </c>
      <c r="E16" s="304" t="s">
        <v>608</v>
      </c>
    </row>
    <row r="17" spans="1:5">
      <c r="A17" s="310" t="s">
        <v>173</v>
      </c>
      <c r="B17" s="310" t="s">
        <v>641</v>
      </c>
      <c r="C17" s="310"/>
      <c r="D17" s="310"/>
      <c r="E17" s="310"/>
    </row>
    <row r="18" spans="1:5" ht="43.5">
      <c r="A18" s="311" t="s">
        <v>609</v>
      </c>
      <c r="B18" s="305" t="s">
        <v>610</v>
      </c>
      <c r="C18" s="305" t="s">
        <v>674</v>
      </c>
      <c r="D18" s="305" t="s">
        <v>642</v>
      </c>
      <c r="E18" s="305"/>
    </row>
    <row r="19" spans="1:5" ht="58">
      <c r="A19" s="311" t="s">
        <v>611</v>
      </c>
      <c r="B19" s="305" t="s">
        <v>612</v>
      </c>
      <c r="C19" s="305" t="s">
        <v>675</v>
      </c>
      <c r="D19" s="305" t="s">
        <v>643</v>
      </c>
      <c r="E19" s="305"/>
    </row>
    <row r="20" spans="1:5" ht="36" customHeight="1">
      <c r="A20" s="311" t="s">
        <v>613</v>
      </c>
      <c r="B20" s="267" t="s">
        <v>634</v>
      </c>
      <c r="C20" s="305" t="s">
        <v>644</v>
      </c>
      <c r="D20" s="305" t="s">
        <v>645</v>
      </c>
      <c r="E20" s="305" t="s">
        <v>635</v>
      </c>
    </row>
    <row r="21" spans="1:5" ht="29">
      <c r="A21" s="311" t="s">
        <v>615</v>
      </c>
      <c r="B21" s="305" t="s">
        <v>676</v>
      </c>
      <c r="C21" s="305"/>
      <c r="D21" s="305"/>
      <c r="E21" s="305"/>
    </row>
    <row r="22" spans="1:5">
      <c r="A22" s="305">
        <v>4.0999999999999996</v>
      </c>
      <c r="B22" s="305" t="s">
        <v>616</v>
      </c>
      <c r="C22" s="399" t="s">
        <v>646</v>
      </c>
      <c r="D22" s="305" t="s">
        <v>647</v>
      </c>
      <c r="E22" s="305"/>
    </row>
    <row r="23" spans="1:5">
      <c r="A23" s="305">
        <v>4.2</v>
      </c>
      <c r="B23" s="305" t="s">
        <v>617</v>
      </c>
      <c r="C23" s="400"/>
      <c r="D23" s="305" t="s">
        <v>648</v>
      </c>
      <c r="E23" s="305"/>
    </row>
    <row r="24" spans="1:5">
      <c r="A24" s="305">
        <v>4.3</v>
      </c>
      <c r="B24" s="305" t="s">
        <v>618</v>
      </c>
      <c r="C24" s="400"/>
      <c r="D24" s="305" t="s">
        <v>649</v>
      </c>
      <c r="E24" s="305"/>
    </row>
    <row r="25" spans="1:5">
      <c r="A25" s="305">
        <v>4.4000000000000004</v>
      </c>
      <c r="B25" s="305" t="s">
        <v>619</v>
      </c>
      <c r="C25" s="400"/>
      <c r="D25" s="305" t="s">
        <v>650</v>
      </c>
      <c r="E25" s="305"/>
    </row>
    <row r="26" spans="1:5">
      <c r="A26" s="305">
        <v>4.5</v>
      </c>
      <c r="B26" s="305" t="s">
        <v>620</v>
      </c>
      <c r="C26" s="400"/>
      <c r="D26" s="305" t="s">
        <v>651</v>
      </c>
      <c r="E26" s="305"/>
    </row>
    <row r="27" spans="1:5">
      <c r="A27" s="305">
        <v>4.5999999999999996</v>
      </c>
      <c r="B27" s="305" t="s">
        <v>621</v>
      </c>
      <c r="C27" s="401"/>
      <c r="D27" s="305" t="s">
        <v>652</v>
      </c>
      <c r="E27" s="305"/>
    </row>
    <row r="28" spans="1:5" ht="43.5">
      <c r="A28" s="311" t="s">
        <v>622</v>
      </c>
      <c r="B28" s="305" t="s">
        <v>614</v>
      </c>
      <c r="C28" s="305" t="s">
        <v>653</v>
      </c>
      <c r="D28" s="305" t="s">
        <v>678</v>
      </c>
      <c r="E28" s="305"/>
    </row>
    <row r="29" spans="1:5" ht="43.5">
      <c r="A29" s="311" t="s">
        <v>623</v>
      </c>
      <c r="B29" s="305" t="s">
        <v>654</v>
      </c>
      <c r="C29" s="305" t="s">
        <v>655</v>
      </c>
      <c r="D29" s="305" t="s">
        <v>656</v>
      </c>
      <c r="E29" s="305"/>
    </row>
    <row r="30" spans="1:5" ht="29">
      <c r="A30" s="311" t="s">
        <v>630</v>
      </c>
      <c r="B30" s="305" t="s">
        <v>624</v>
      </c>
      <c r="C30" s="305" t="s">
        <v>657</v>
      </c>
      <c r="D30" s="305" t="s">
        <v>658</v>
      </c>
      <c r="E30" s="305"/>
    </row>
    <row r="31" spans="1:5">
      <c r="A31" s="310" t="s">
        <v>174</v>
      </c>
      <c r="B31" s="312" t="s">
        <v>659</v>
      </c>
      <c r="C31" s="310"/>
      <c r="D31" s="310"/>
      <c r="E31" s="310"/>
    </row>
    <row r="32" spans="1:5" ht="26.25" customHeight="1">
      <c r="A32" s="313" t="s">
        <v>660</v>
      </c>
      <c r="B32" s="305" t="s">
        <v>625</v>
      </c>
      <c r="C32" s="305"/>
      <c r="D32" s="305" t="s">
        <v>661</v>
      </c>
      <c r="E32" s="305" t="s">
        <v>635</v>
      </c>
    </row>
    <row r="33" spans="1:5">
      <c r="A33" s="313" t="s">
        <v>662</v>
      </c>
      <c r="B33" s="305" t="s">
        <v>626</v>
      </c>
      <c r="C33" s="305"/>
      <c r="D33" s="305" t="s">
        <v>663</v>
      </c>
      <c r="E33" s="305" t="s">
        <v>635</v>
      </c>
    </row>
    <row r="34" spans="1:5">
      <c r="A34" s="313" t="s">
        <v>664</v>
      </c>
      <c r="B34" s="305" t="s">
        <v>627</v>
      </c>
      <c r="C34" s="305"/>
      <c r="D34" s="305" t="s">
        <v>665</v>
      </c>
      <c r="E34" s="305" t="s">
        <v>635</v>
      </c>
    </row>
    <row r="35" spans="1:5" ht="35.25" customHeight="1">
      <c r="A35" s="313" t="s">
        <v>666</v>
      </c>
      <c r="B35" s="305" t="s">
        <v>628</v>
      </c>
      <c r="C35" s="305"/>
      <c r="D35" s="305" t="s">
        <v>667</v>
      </c>
      <c r="E35" s="305" t="s">
        <v>635</v>
      </c>
    </row>
    <row r="36" spans="1:5" ht="35.25" customHeight="1">
      <c r="A36" s="313" t="s">
        <v>668</v>
      </c>
      <c r="B36" s="305" t="s">
        <v>669</v>
      </c>
      <c r="C36" s="305"/>
      <c r="D36" s="305" t="s">
        <v>670</v>
      </c>
      <c r="E36" s="305" t="s">
        <v>635</v>
      </c>
    </row>
    <row r="37" spans="1:5">
      <c r="A37" s="311" t="s">
        <v>671</v>
      </c>
      <c r="B37" s="305" t="s">
        <v>672</v>
      </c>
      <c r="C37" s="305"/>
      <c r="D37" s="305"/>
      <c r="E37" s="305"/>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23" zoomScale="80" zoomScaleSheetLayoutView="80" workbookViewId="0">
      <selection activeCell="A4" sqref="A4:I36"/>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424"/>
      <c r="B1" s="424"/>
      <c r="C1" s="424"/>
      <c r="D1" s="424"/>
      <c r="E1" s="424"/>
      <c r="F1" s="424"/>
      <c r="G1" s="424"/>
    </row>
    <row r="2" spans="1:10" ht="17.5">
      <c r="A2" s="411" t="s">
        <v>558</v>
      </c>
      <c r="B2" s="411"/>
      <c r="C2" s="411"/>
      <c r="D2" s="411"/>
      <c r="E2" s="411"/>
      <c r="F2" s="411"/>
      <c r="G2" s="411"/>
      <c r="H2" s="411"/>
      <c r="I2" s="411"/>
      <c r="J2" s="5"/>
    </row>
    <row r="4" spans="1:10">
      <c r="A4" s="48" t="s">
        <v>228</v>
      </c>
      <c r="B4" s="48" t="s">
        <v>0</v>
      </c>
      <c r="C4" s="49" t="s">
        <v>2</v>
      </c>
      <c r="D4" s="49" t="s">
        <v>3</v>
      </c>
      <c r="E4" s="49" t="s">
        <v>4</v>
      </c>
      <c r="F4" s="49" t="s">
        <v>5</v>
      </c>
      <c r="G4" s="49" t="s">
        <v>6</v>
      </c>
      <c r="H4" s="49" t="s">
        <v>169</v>
      </c>
      <c r="I4" s="49" t="s">
        <v>168</v>
      </c>
    </row>
    <row r="5" spans="1:10">
      <c r="A5" s="31">
        <v>1</v>
      </c>
      <c r="B5" s="31" t="s">
        <v>360</v>
      </c>
      <c r="C5" s="32"/>
      <c r="D5" s="32"/>
      <c r="E5" s="32"/>
      <c r="F5" s="32"/>
      <c r="G5" s="32"/>
      <c r="H5" s="32"/>
      <c r="I5" s="32"/>
    </row>
    <row r="6" spans="1:10">
      <c r="A6" s="31"/>
      <c r="B6" s="33" t="s">
        <v>360</v>
      </c>
      <c r="C6" s="32">
        <f>'6.Cons Profit &amp; Loss'!B15</f>
        <v>61550012.159999989</v>
      </c>
      <c r="D6" s="32">
        <f>'6.Cons Profit &amp; Loss'!C15</f>
        <v>70642185.264000013</v>
      </c>
      <c r="E6" s="32">
        <f>'6.Cons Profit &amp; Loss'!D15</f>
        <v>79871873.407200009</v>
      </c>
      <c r="F6" s="32">
        <f>'6.Cons Profit &amp; Loss'!E15</f>
        <v>89847924.901560009</v>
      </c>
      <c r="G6" s="32">
        <f>'6.Cons Profit &amp; Loss'!F15</f>
        <v>100621901.86183804</v>
      </c>
      <c r="H6" s="32">
        <f>'6.Cons Profit &amp; Loss'!G15</f>
        <v>112248656.70588998</v>
      </c>
      <c r="I6" s="32">
        <f>'6.Cons Profit &amp; Loss'!H15</f>
        <v>124786532.27969246</v>
      </c>
    </row>
    <row r="7" spans="1:10">
      <c r="A7" s="31">
        <v>2</v>
      </c>
      <c r="B7" s="31" t="s">
        <v>229</v>
      </c>
      <c r="C7" s="32">
        <f>'1.Project Cost and MOF'!E21</f>
        <v>3198914.1187945195</v>
      </c>
      <c r="D7" s="32"/>
      <c r="E7" s="32"/>
      <c r="F7" s="32"/>
      <c r="G7" s="32"/>
      <c r="H7" s="32"/>
      <c r="I7" s="32"/>
    </row>
    <row r="8" spans="1:10">
      <c r="A8" s="31"/>
      <c r="B8" s="31" t="s">
        <v>290</v>
      </c>
      <c r="C8" s="32"/>
      <c r="D8" s="32"/>
      <c r="E8" s="32"/>
      <c r="F8" s="32"/>
      <c r="G8" s="32"/>
      <c r="H8" s="32"/>
      <c r="I8" s="32"/>
    </row>
    <row r="9" spans="1:10">
      <c r="A9" s="31">
        <v>3</v>
      </c>
      <c r="B9" s="31" t="s">
        <v>230</v>
      </c>
      <c r="C9" s="32">
        <f>'1.Project Cost and MOF'!E19</f>
        <v>8230000</v>
      </c>
      <c r="D9" s="32"/>
      <c r="E9" s="32"/>
      <c r="F9" s="32"/>
      <c r="G9" s="32"/>
      <c r="H9" s="32"/>
      <c r="I9" s="32"/>
    </row>
    <row r="10" spans="1:10">
      <c r="A10" s="31">
        <v>4</v>
      </c>
      <c r="B10" s="31" t="s">
        <v>231</v>
      </c>
      <c r="C10" s="32">
        <f>'1.Project Cost and MOF'!E20</f>
        <v>4113000</v>
      </c>
      <c r="D10" s="32"/>
      <c r="E10" s="32"/>
      <c r="F10" s="32"/>
      <c r="G10" s="32"/>
      <c r="H10" s="32"/>
      <c r="I10" s="32"/>
    </row>
    <row r="11" spans="1:10">
      <c r="A11" s="31">
        <v>5</v>
      </c>
      <c r="B11" s="31" t="s">
        <v>687</v>
      </c>
      <c r="C11" s="32">
        <f>'7.Balance Sheet'!B24</f>
        <v>1367902.5563835613</v>
      </c>
      <c r="D11" s="32">
        <f>'7.Balance Sheet'!C24-'7.Balance Sheet'!B24</f>
        <v>731329.03440000117</v>
      </c>
      <c r="E11" s="32">
        <f>'7.Balance Sheet'!D24-'7.Balance Sheet'!C24</f>
        <v>274640.5087693152</v>
      </c>
      <c r="F11" s="32">
        <f>'7.Balance Sheet'!E24-'7.Balance Sheet'!D24</f>
        <v>296856.48066928657</v>
      </c>
      <c r="G11" s="32">
        <f>'7.Balance Sheet'!F24-'7.Balance Sheet'!E24</f>
        <v>320607.44848733582</v>
      </c>
      <c r="H11" s="32">
        <f>'7.Balance Sheet'!G24-'7.Balance Sheet'!F24</f>
        <v>345991.37188551482</v>
      </c>
      <c r="I11" s="32">
        <f>'7.Balance Sheet'!H24-'7.Balance Sheet'!G24</f>
        <v>373112.16900228756</v>
      </c>
    </row>
    <row r="12" spans="1:10">
      <c r="A12" s="31">
        <v>6</v>
      </c>
      <c r="B12" s="31" t="s">
        <v>684</v>
      </c>
      <c r="C12" s="32">
        <f>'7.Balance Sheet'!B25</f>
        <v>1115215.9890410958</v>
      </c>
      <c r="D12" s="32">
        <f>'7.Balance Sheet'!C25-'7.Balance Sheet'!B25</f>
        <v>152890.62657534238</v>
      </c>
      <c r="E12" s="32">
        <f>'7.Balance Sheet'!D25-'7.Balance Sheet'!C25</f>
        <v>165391.64926027437</v>
      </c>
      <c r="F12" s="32">
        <f>'7.Balance Sheet'!E25-'7.Balance Sheet'!D25</f>
        <v>178760.5476472606</v>
      </c>
      <c r="G12" s="32">
        <f>'7.Balance Sheet'!F25-'7.Balance Sheet'!E25</f>
        <v>193052.85674979445</v>
      </c>
      <c r="H12" s="32">
        <f>'7.Balance Sheet'!G25-'7.Balance Sheet'!F25</f>
        <v>208327.49539346411</v>
      </c>
      <c r="I12" s="32">
        <f>'7.Balance Sheet'!H25-'7.Balance Sheet'!G25</f>
        <v>224646.96575962729</v>
      </c>
    </row>
    <row r="13" spans="1:10">
      <c r="A13" s="31"/>
      <c r="B13" s="31" t="s">
        <v>232</v>
      </c>
      <c r="C13" s="34">
        <f>C6+C7+C9+C10+C11+C12</f>
        <v>79575044.824219167</v>
      </c>
      <c r="D13" s="34">
        <f t="shared" ref="D13:I13" si="0">SUM(D6:D12)</f>
        <v>71526404.92497535</v>
      </c>
      <c r="E13" s="34">
        <f t="shared" si="0"/>
        <v>80311905.565229595</v>
      </c>
      <c r="F13" s="34">
        <f t="shared" si="0"/>
        <v>90323541.929876566</v>
      </c>
      <c r="G13" s="34">
        <f t="shared" si="0"/>
        <v>101135562.16707517</v>
      </c>
      <c r="H13" s="34">
        <f t="shared" si="0"/>
        <v>112802975.57316896</v>
      </c>
      <c r="I13" s="34">
        <f t="shared" si="0"/>
        <v>125384291.41445437</v>
      </c>
    </row>
    <row r="14" spans="1:10">
      <c r="A14" s="447" t="s">
        <v>233</v>
      </c>
      <c r="B14" s="447"/>
      <c r="C14" s="35"/>
      <c r="D14" s="35"/>
      <c r="E14" s="35"/>
      <c r="F14" s="35"/>
      <c r="G14" s="35"/>
      <c r="H14" s="35"/>
      <c r="I14" s="35"/>
    </row>
    <row r="15" spans="1:10">
      <c r="A15" s="31">
        <v>1</v>
      </c>
      <c r="B15" s="31" t="s">
        <v>234</v>
      </c>
      <c r="C15" s="35"/>
      <c r="D15" s="35"/>
      <c r="E15" s="35"/>
      <c r="F15" s="35"/>
      <c r="G15" s="35"/>
      <c r="H15" s="35"/>
      <c r="I15" s="35"/>
    </row>
    <row r="16" spans="1:10">
      <c r="A16" s="36" t="s">
        <v>235</v>
      </c>
      <c r="B16" s="35" t="str">
        <f>'[5]Total Cost of Project'!C3</f>
        <v>Land and Building</v>
      </c>
      <c r="C16" s="37">
        <f>'1.Project Cost and MOF'!D5</f>
        <v>13467463</v>
      </c>
      <c r="D16" s="37"/>
      <c r="E16" s="37"/>
      <c r="F16" s="37"/>
      <c r="G16" s="37"/>
      <c r="H16" s="37"/>
      <c r="I16" s="37"/>
    </row>
    <row r="17" spans="1:9">
      <c r="A17" s="36" t="s">
        <v>236</v>
      </c>
      <c r="B17" s="38" t="str">
        <f>'[5]Total Cost of Project'!C4</f>
        <v>Machinery and Equipment</v>
      </c>
      <c r="C17" s="37">
        <f>'1.Project Cost and MOF'!D6</f>
        <v>1005863.6</v>
      </c>
      <c r="D17" s="37"/>
      <c r="E17" s="37"/>
      <c r="F17" s="37"/>
      <c r="G17" s="37"/>
      <c r="H17" s="37"/>
      <c r="I17" s="37"/>
    </row>
    <row r="18" spans="1:9">
      <c r="A18" s="36" t="s">
        <v>273</v>
      </c>
      <c r="B18" s="38" t="s">
        <v>325</v>
      </c>
      <c r="C18" s="37">
        <f>'1.Project Cost and MOF'!D7</f>
        <v>291640</v>
      </c>
      <c r="D18" s="37"/>
      <c r="E18" s="37"/>
      <c r="F18" s="37"/>
      <c r="G18" s="37"/>
      <c r="H18" s="37"/>
      <c r="I18" s="37"/>
    </row>
    <row r="19" spans="1:9">
      <c r="A19" s="36" t="s">
        <v>275</v>
      </c>
      <c r="B19" s="38" t="s">
        <v>327</v>
      </c>
      <c r="C19" s="37">
        <f>'1.Project Cost and MOF'!D8</f>
        <v>246820</v>
      </c>
      <c r="D19" s="37"/>
      <c r="E19" s="37"/>
      <c r="F19" s="37"/>
      <c r="G19" s="37"/>
      <c r="H19" s="37"/>
      <c r="I19" s="37"/>
    </row>
    <row r="20" spans="1:9">
      <c r="A20" s="36" t="s">
        <v>328</v>
      </c>
      <c r="B20" s="38" t="s">
        <v>274</v>
      </c>
      <c r="C20" s="37">
        <f>'1.Project Cost and MOF'!D9</f>
        <v>0</v>
      </c>
      <c r="D20" s="32"/>
      <c r="E20" s="32"/>
      <c r="F20" s="32"/>
      <c r="G20" s="32"/>
      <c r="H20" s="32"/>
      <c r="I20" s="32"/>
    </row>
    <row r="21" spans="1:9">
      <c r="A21" s="36" t="s">
        <v>329</v>
      </c>
      <c r="B21" s="38" t="s">
        <v>276</v>
      </c>
      <c r="C21" s="37">
        <f>'1.Project Cost and MOF'!D10</f>
        <v>74160</v>
      </c>
      <c r="D21" s="32"/>
      <c r="E21" s="32"/>
      <c r="F21" s="32"/>
      <c r="G21" s="32"/>
      <c r="H21" s="32"/>
      <c r="I21" s="32"/>
    </row>
    <row r="22" spans="1:9">
      <c r="A22" s="31">
        <v>2</v>
      </c>
      <c r="B22" s="31" t="s">
        <v>237</v>
      </c>
      <c r="C22" s="35"/>
      <c r="D22" s="35"/>
      <c r="E22" s="35"/>
      <c r="F22" s="35"/>
      <c r="G22" s="35"/>
      <c r="H22" s="35"/>
      <c r="I22" s="35"/>
    </row>
    <row r="23" spans="1:9">
      <c r="A23" s="36" t="s">
        <v>235</v>
      </c>
      <c r="B23" s="35" t="s">
        <v>307</v>
      </c>
      <c r="C23" s="58">
        <f>'6.Cons Profit &amp; Loss'!B25</f>
        <v>57572284.32</v>
      </c>
      <c r="D23" s="58">
        <f>'6.Cons Profit &amp; Loss'!C25</f>
        <v>66043190.844000004</v>
      </c>
      <c r="E23" s="58">
        <f>'6.Cons Profit &amp; Loss'!D25</f>
        <v>74660678.51760003</v>
      </c>
      <c r="F23" s="58">
        <f>'6.Cons Profit &amp; Loss'!E25</f>
        <v>83974806.981450021</v>
      </c>
      <c r="G23" s="58">
        <f>'6.Cons Profit &amp; Loss'!F25</f>
        <v>94033696.595391035</v>
      </c>
      <c r="H23" s="58">
        <f>'6.Cons Profit &amp; Loss'!G25</f>
        <v>104888538.15327249</v>
      </c>
      <c r="I23" s="58">
        <f>'6.Cons Profit &amp; Loss'!H25</f>
        <v>116593779.62545373</v>
      </c>
    </row>
    <row r="24" spans="1:9">
      <c r="A24" s="36" t="s">
        <v>236</v>
      </c>
      <c r="B24" s="35" t="s">
        <v>306</v>
      </c>
      <c r="C24" s="32">
        <f>'6.Cons Profit &amp; Loss'!B36</f>
        <v>710000</v>
      </c>
      <c r="D24" s="32">
        <f>'6.Cons Profit &amp; Loss'!C36</f>
        <v>745500</v>
      </c>
      <c r="E24" s="32">
        <f>'6.Cons Profit &amp; Loss'!D36</f>
        <v>782775</v>
      </c>
      <c r="F24" s="32">
        <f>'6.Cons Profit &amp; Loss'!E36</f>
        <v>821913.75000000023</v>
      </c>
      <c r="G24" s="32">
        <f>'6.Cons Profit &amp; Loss'!F36</f>
        <v>863009.43750000023</v>
      </c>
      <c r="H24" s="32">
        <f>'6.Cons Profit &amp; Loss'!G36</f>
        <v>906159.90937500028</v>
      </c>
      <c r="I24" s="32">
        <f>'6.Cons Profit &amp; Loss'!H36</f>
        <v>951467.90484375029</v>
      </c>
    </row>
    <row r="25" spans="1:9">
      <c r="A25" s="39">
        <v>3</v>
      </c>
      <c r="B25" s="31" t="s">
        <v>506</v>
      </c>
      <c r="C25" s="32"/>
      <c r="D25" s="32"/>
      <c r="E25" s="32"/>
      <c r="F25" s="32"/>
      <c r="G25" s="32"/>
      <c r="H25" s="32"/>
      <c r="I25" s="32"/>
    </row>
    <row r="26" spans="1:9">
      <c r="A26" s="36"/>
      <c r="B26" s="35" t="s">
        <v>238</v>
      </c>
      <c r="C26" s="32">
        <f>SUM('4.TL repayment sch'!E10:E21)</f>
        <v>215707.04311575778</v>
      </c>
      <c r="D26" s="32">
        <f>SUM('4.TL repayment sch'!E22:E33)</f>
        <v>472041.46825252753</v>
      </c>
      <c r="E26" s="32">
        <f>SUM('4.TL repayment sch'!E34:E45)</f>
        <v>531908.14168719354</v>
      </c>
      <c r="F26" s="32">
        <f>SUM('4.TL repayment sch'!E46:E57)</f>
        <v>599367.40778411191</v>
      </c>
      <c r="G26" s="32">
        <f>SUM('4.TL repayment sch'!E58:E69)</f>
        <v>675382.19733645231</v>
      </c>
      <c r="H26" s="32">
        <f>SUM('4.TL repayment sch'!E70:E81)</f>
        <v>761037.56486424385</v>
      </c>
      <c r="I26" s="32">
        <f>SUM('4.TL repayment sch'!E82:E93)</f>
        <v>857556.17695971252</v>
      </c>
    </row>
    <row r="27" spans="1:9">
      <c r="A27" s="36"/>
      <c r="B27" s="35" t="s">
        <v>239</v>
      </c>
      <c r="C27" s="32">
        <f>SUM('4.TL repayment sch'!D10:D21)</f>
        <v>488229.92216324282</v>
      </c>
      <c r="D27" s="32">
        <f>SUM('4.TL repayment sch'!D22:D33)</f>
        <v>442272.4623054738</v>
      </c>
      <c r="E27" s="32">
        <f>SUM('4.TL repayment sch'!D34:D45)</f>
        <v>382405.78887080774</v>
      </c>
      <c r="F27" s="32">
        <f>SUM('4.TL repayment sch'!D46:D57)</f>
        <v>314946.52277388948</v>
      </c>
      <c r="G27" s="32">
        <f>SUM('4.TL repayment sch'!D58:D69)</f>
        <v>238931.7332215489</v>
      </c>
      <c r="H27" s="32">
        <f>SUM('4.TL repayment sch'!D70:D81)</f>
        <v>153276.36569375743</v>
      </c>
      <c r="I27" s="32">
        <f>SUM('4.TL repayment sch'!D82:D93)</f>
        <v>56757.7535982888</v>
      </c>
    </row>
    <row r="28" spans="1:9">
      <c r="A28" s="36"/>
      <c r="B28" s="35" t="s">
        <v>240</v>
      </c>
      <c r="C28" s="32"/>
      <c r="D28" s="32"/>
      <c r="E28" s="32"/>
      <c r="F28" s="32"/>
      <c r="G28" s="32"/>
      <c r="H28" s="32"/>
      <c r="I28" s="32"/>
    </row>
    <row r="29" spans="1:9">
      <c r="A29" s="36"/>
      <c r="B29" s="35" t="s">
        <v>241</v>
      </c>
      <c r="C29" s="40">
        <f>'7.Balance Sheet'!B24*12%</f>
        <v>164148.30676602735</v>
      </c>
      <c r="D29" s="40">
        <f>'7.Balance Sheet'!C24*12%</f>
        <v>251907.79089402748</v>
      </c>
      <c r="E29" s="40">
        <f>'7.Balance Sheet'!D24*12%</f>
        <v>284864.65194634529</v>
      </c>
      <c r="F29" s="40">
        <f>'7.Balance Sheet'!E24*12%</f>
        <v>320487.42962665972</v>
      </c>
      <c r="G29" s="40">
        <f>'7.Balance Sheet'!F24*12%</f>
        <v>358960.32344513998</v>
      </c>
      <c r="H29" s="40">
        <f>'7.Balance Sheet'!G24*12%</f>
        <v>400479.28807140177</v>
      </c>
      <c r="I29" s="40">
        <f>'7.Balance Sheet'!H24*12%</f>
        <v>445252.74835167627</v>
      </c>
    </row>
    <row r="30" spans="1:9">
      <c r="A30" s="31">
        <v>4</v>
      </c>
      <c r="B30" s="31" t="s">
        <v>242</v>
      </c>
      <c r="C30" s="32">
        <f>'6.Cons Profit &amp; Loss'!B50</f>
        <v>253499.94047838682</v>
      </c>
      <c r="D30" s="32">
        <f>'6.Cons Profit &amp; Loss'!C50</f>
        <v>446856.40682813205</v>
      </c>
      <c r="E30" s="32">
        <f>'6.Cons Profit &amp; Loss'!D50</f>
        <v>646692.16511453467</v>
      </c>
      <c r="F30" s="32">
        <f>'6.Cons Profit &amp; Loss'!E50</f>
        <v>853818.02051180392</v>
      </c>
      <c r="G30" s="32">
        <f>'6.Cons Profit &amp; Loss'!F50</f>
        <v>1070727.2713210303</v>
      </c>
      <c r="H30" s="32">
        <f>'6.Cons Profit &amp; Loss'!G50</f>
        <v>1303410.8291632424</v>
      </c>
      <c r="I30" s="32">
        <f>'6.Cons Profit &amp; Loss'!H50</f>
        <v>1546102.6627035588</v>
      </c>
    </row>
    <row r="31" spans="1:9">
      <c r="A31" s="31">
        <v>5</v>
      </c>
      <c r="B31" s="31" t="s">
        <v>685</v>
      </c>
      <c r="C31" s="32">
        <f>'7.Balance Sheet'!B9</f>
        <v>2360822.3842191775</v>
      </c>
      <c r="D31" s="32">
        <f>'7.Balance Sheet'!C9-'7.Balance Sheet'!B9</f>
        <v>348740.8861808232</v>
      </c>
      <c r="E31" s="32">
        <f>'7.Balance Sheet'!D9-'7.Balance Sheet'!C9</f>
        <v>354015.43562958948</v>
      </c>
      <c r="F31" s="32">
        <f>'7.Balance Sheet'!E9-'7.Balance Sheet'!D9</f>
        <v>382643.07101654727</v>
      </c>
      <c r="G31" s="32">
        <f>'7.Balance Sheet'!F9-'7.Balance Sheet'!E9</f>
        <v>413248.43135312991</v>
      </c>
      <c r="H31" s="32">
        <f>'7.Balance Sheet'!G9-'7.Balance Sheet'!F9</f>
        <v>445957.72004582873</v>
      </c>
      <c r="I31" s="32">
        <f>'7.Balance Sheet'!H9-'7.Balance Sheet'!G9</f>
        <v>480904.81652940903</v>
      </c>
    </row>
    <row r="32" spans="1:9">
      <c r="A32" s="31">
        <v>6</v>
      </c>
      <c r="B32" s="31" t="s">
        <v>686</v>
      </c>
      <c r="C32" s="32">
        <f>'7.Balance Sheet'!B10</f>
        <v>578263.68000000005</v>
      </c>
      <c r="D32" s="32">
        <f>'7.Balance Sheet'!C10-'7.Balance Sheet'!B10</f>
        <v>79511.255999999936</v>
      </c>
      <c r="E32" s="32">
        <f>'7.Balance Sheet'!D10-'7.Balance Sheet'!C10</f>
        <v>86016.722400000202</v>
      </c>
      <c r="F32" s="32">
        <f>'7.Balance Sheet'!E10-'7.Balance Sheet'!D10</f>
        <v>92973.957300000009</v>
      </c>
      <c r="G32" s="32">
        <f>'7.Balance Sheet'!F10-'7.Balance Sheet'!E10</f>
        <v>100411.87388400012</v>
      </c>
      <c r="H32" s="32">
        <f>'7.Balance Sheet'!G10-'7.Balance Sheet'!F10</f>
        <v>108361.14723314997</v>
      </c>
      <c r="I32" s="32">
        <f>'7.Balance Sheet'!H10-'7.Balance Sheet'!G10</f>
        <v>116854.31823250558</v>
      </c>
    </row>
    <row r="33" spans="1:10">
      <c r="A33" s="31"/>
      <c r="B33" s="31" t="s">
        <v>243</v>
      </c>
      <c r="C33" s="41">
        <f>SUM(C16:C32)</f>
        <v>77428902.196742624</v>
      </c>
      <c r="D33" s="41">
        <f t="shared" ref="D33:I33" si="1">SUM(D16:D32)</f>
        <v>68830021.11446099</v>
      </c>
      <c r="E33" s="41">
        <f t="shared" si="1"/>
        <v>77729356.423248515</v>
      </c>
      <c r="F33" s="41">
        <f t="shared" si="1"/>
        <v>87360957.140463054</v>
      </c>
      <c r="G33" s="41">
        <f t="shared" si="1"/>
        <v>97754367.863452345</v>
      </c>
      <c r="H33" s="41">
        <f t="shared" si="1"/>
        <v>108967220.97771913</v>
      </c>
      <c r="I33" s="41">
        <f t="shared" si="1"/>
        <v>121048676.00667262</v>
      </c>
    </row>
    <row r="34" spans="1:10">
      <c r="A34" s="31"/>
      <c r="B34" s="31" t="s">
        <v>244</v>
      </c>
      <c r="C34" s="41">
        <f t="shared" ref="C34:I34" si="2">C13-C33</f>
        <v>2146142.6274765432</v>
      </c>
      <c r="D34" s="41">
        <f t="shared" si="2"/>
        <v>2696383.8105143607</v>
      </c>
      <c r="E34" s="41">
        <f t="shared" si="2"/>
        <v>2582549.1419810802</v>
      </c>
      <c r="F34" s="41">
        <f t="shared" si="2"/>
        <v>2962584.7894135118</v>
      </c>
      <c r="G34" s="41">
        <f t="shared" si="2"/>
        <v>3381194.3036228269</v>
      </c>
      <c r="H34" s="41">
        <f t="shared" si="2"/>
        <v>3835754.5954498351</v>
      </c>
      <c r="I34" s="41">
        <f t="shared" si="2"/>
        <v>4335615.40778175</v>
      </c>
    </row>
    <row r="35" spans="1:10">
      <c r="A35" s="39"/>
      <c r="B35" s="35" t="s">
        <v>245</v>
      </c>
      <c r="C35" s="35"/>
      <c r="D35" s="42">
        <f t="shared" ref="D35:I35" si="3">C36</f>
        <v>2146142.6274765432</v>
      </c>
      <c r="E35" s="42">
        <f t="shared" si="3"/>
        <v>4842526.4379909039</v>
      </c>
      <c r="F35" s="42">
        <f t="shared" si="3"/>
        <v>7425075.579971984</v>
      </c>
      <c r="G35" s="42">
        <f t="shared" si="3"/>
        <v>10387660.369385496</v>
      </c>
      <c r="H35" s="42">
        <f t="shared" si="3"/>
        <v>13768854.673008323</v>
      </c>
      <c r="I35" s="42">
        <f t="shared" si="3"/>
        <v>17604609.268458158</v>
      </c>
    </row>
    <row r="36" spans="1:10">
      <c r="A36" s="31"/>
      <c r="B36" s="43" t="s">
        <v>246</v>
      </c>
      <c r="C36" s="41">
        <f t="shared" ref="C36:I36" si="4">C34+C35</f>
        <v>2146142.6274765432</v>
      </c>
      <c r="D36" s="41">
        <f t="shared" si="4"/>
        <v>4842526.4379909039</v>
      </c>
      <c r="E36" s="41">
        <f t="shared" si="4"/>
        <v>7425075.579971984</v>
      </c>
      <c r="F36" s="41">
        <f t="shared" si="4"/>
        <v>10387660.369385496</v>
      </c>
      <c r="G36" s="41">
        <f t="shared" si="4"/>
        <v>13768854.673008323</v>
      </c>
      <c r="H36" s="41">
        <f t="shared" si="4"/>
        <v>17604609.268458158</v>
      </c>
      <c r="I36" s="41">
        <f t="shared" si="4"/>
        <v>21940224.676239908</v>
      </c>
    </row>
    <row r="38" spans="1:10" ht="40" customHeight="1">
      <c r="A38" s="448" t="s">
        <v>401</v>
      </c>
      <c r="B38" s="448"/>
      <c r="C38" s="448"/>
      <c r="D38" s="448"/>
      <c r="E38" s="448"/>
      <c r="F38" s="448"/>
      <c r="G38" s="448"/>
      <c r="H38" s="448"/>
      <c r="I38" s="448"/>
      <c r="J38" s="448"/>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69" zoomScale="80" zoomScaleSheetLayoutView="80" workbookViewId="0">
      <selection activeCell="C69" sqref="C69"/>
    </sheetView>
  </sheetViews>
  <sheetFormatPr defaultRowHeight="14.5"/>
  <cols>
    <col min="2" max="2" width="32.7265625" bestFit="1" customWidth="1"/>
    <col min="3" max="3" width="22.54296875" customWidth="1"/>
    <col min="4" max="5" width="15.81640625" bestFit="1"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0" ht="17.5">
      <c r="B5" s="449" t="s">
        <v>559</v>
      </c>
      <c r="C5" s="449"/>
      <c r="D5" s="449"/>
      <c r="E5" s="449"/>
      <c r="F5" s="449"/>
      <c r="G5" s="449"/>
      <c r="H5" s="449"/>
      <c r="I5" s="449"/>
      <c r="J5" s="449"/>
    </row>
    <row r="6" spans="2:10" ht="16.5">
      <c r="B6" s="7"/>
      <c r="C6" s="7"/>
      <c r="D6" s="7"/>
      <c r="E6" s="7"/>
      <c r="F6" s="7"/>
      <c r="G6" s="7"/>
      <c r="H6" s="7"/>
      <c r="I6" s="7"/>
      <c r="J6" s="7"/>
    </row>
    <row r="7" spans="2:10" ht="15.5">
      <c r="B7" s="67" t="s">
        <v>29</v>
      </c>
      <c r="C7" s="68" t="s">
        <v>330</v>
      </c>
      <c r="D7" s="68" t="s">
        <v>2</v>
      </c>
      <c r="E7" s="68" t="s">
        <v>3</v>
      </c>
      <c r="F7" s="68" t="s">
        <v>4</v>
      </c>
      <c r="G7" s="68" t="s">
        <v>5</v>
      </c>
      <c r="H7" s="68" t="s">
        <v>6</v>
      </c>
      <c r="I7" s="68" t="s">
        <v>169</v>
      </c>
      <c r="J7" s="68" t="s">
        <v>168</v>
      </c>
    </row>
    <row r="8" spans="2:10">
      <c r="B8" s="59"/>
      <c r="C8" s="59"/>
      <c r="D8" s="59"/>
      <c r="E8" s="59"/>
      <c r="F8" s="59"/>
      <c r="G8" s="59"/>
      <c r="H8" s="59"/>
      <c r="I8" s="59"/>
      <c r="J8" s="59"/>
    </row>
    <row r="9" spans="2:10">
      <c r="B9" s="59" t="s">
        <v>30</v>
      </c>
      <c r="C9" s="59"/>
      <c r="D9" s="69">
        <f>'6.Cons Profit &amp; Loss'!B51</f>
        <v>1802581.9276123317</v>
      </c>
      <c r="E9" s="69">
        <f>'6.Cons Profit &amp; Loss'!C51</f>
        <v>2153190.0169923757</v>
      </c>
      <c r="F9" s="69">
        <f>'6.Cons Profit &amp; Loss'!D51</f>
        <v>2555189.5406882912</v>
      </c>
      <c r="G9" s="69">
        <f>'6.Cons Profit &amp; Loss'!E51</f>
        <v>3002684.4542176342</v>
      </c>
      <c r="H9" s="69">
        <f>'6.Cons Profit &amp; Loss'!F51</f>
        <v>3497308.7579792887</v>
      </c>
      <c r="I9" s="69">
        <f>'6.Cons Profit &amp; Loss'!G51</f>
        <v>4052356.4173340928</v>
      </c>
      <c r="J9" s="69">
        <f>'6.Cons Profit &amp; Loss'!H51</f>
        <v>4648735.8417614596</v>
      </c>
    </row>
    <row r="10" spans="2:10">
      <c r="B10" s="59"/>
      <c r="C10" s="59"/>
      <c r="D10" s="69"/>
      <c r="E10" s="69"/>
      <c r="F10" s="69"/>
      <c r="G10" s="69"/>
      <c r="H10" s="69"/>
      <c r="I10" s="69"/>
      <c r="J10" s="69"/>
    </row>
    <row r="11" spans="2:10">
      <c r="B11" s="61" t="s">
        <v>31</v>
      </c>
      <c r="C11" s="61"/>
      <c r="D11" s="69">
        <f>'6.Cons Profit &amp; Loss'!B42</f>
        <v>544435.74297999998</v>
      </c>
      <c r="E11" s="69">
        <f>'6.Cons Profit &amp; Loss'!C42</f>
        <v>544435.74297999998</v>
      </c>
      <c r="F11" s="69">
        <f>'6.Cons Profit &amp; Loss'!D42</f>
        <v>544435.74297999998</v>
      </c>
      <c r="G11" s="69">
        <f>'6.Cons Profit &amp; Loss'!E42</f>
        <v>544435.74297999998</v>
      </c>
      <c r="H11" s="69">
        <f>'6.Cons Profit &amp; Loss'!F42</f>
        <v>544435.74297999998</v>
      </c>
      <c r="I11" s="69">
        <f>'6.Cons Profit &amp; Loss'!G42</f>
        <v>544435.74297999998</v>
      </c>
      <c r="J11" s="69">
        <f>'6.Cons Profit &amp; Loss'!H42</f>
        <v>544435.74297999998</v>
      </c>
    </row>
    <row r="12" spans="2:10">
      <c r="B12" s="59" t="s">
        <v>36</v>
      </c>
      <c r="C12" s="59"/>
      <c r="D12" s="69">
        <f>'6.Cons Profit &amp; Loss'!B43</f>
        <v>14832</v>
      </c>
      <c r="E12" s="69">
        <f>'6.Cons Profit &amp; Loss'!C43</f>
        <v>14832</v>
      </c>
      <c r="F12" s="69">
        <f>'6.Cons Profit &amp; Loss'!D43</f>
        <v>14832</v>
      </c>
      <c r="G12" s="69">
        <f>'6.Cons Profit &amp; Loss'!E43</f>
        <v>14832</v>
      </c>
      <c r="H12" s="69">
        <f>'6.Cons Profit &amp; Loss'!F43</f>
        <v>14832</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2361849.6705923318</v>
      </c>
      <c r="E14" s="69">
        <f t="shared" ref="E14:J14" si="0">SUM(E9:E12)</f>
        <v>2712457.7599723758</v>
      </c>
      <c r="F14" s="69">
        <f t="shared" si="0"/>
        <v>3114457.2836682913</v>
      </c>
      <c r="G14" s="69">
        <f t="shared" si="0"/>
        <v>3561952.1971976343</v>
      </c>
      <c r="H14" s="69">
        <f t="shared" si="0"/>
        <v>4056576.5009592888</v>
      </c>
      <c r="I14" s="69">
        <f t="shared" si="0"/>
        <v>4596792.1603140924</v>
      </c>
      <c r="J14" s="69">
        <f t="shared" si="0"/>
        <v>5193171.5847414592</v>
      </c>
    </row>
    <row r="15" spans="2:10">
      <c r="B15" s="59" t="s">
        <v>339</v>
      </c>
      <c r="C15" s="70">
        <f>-'1.Project Cost and MOF'!E22</f>
        <v>-15541914.118794519</v>
      </c>
      <c r="D15" s="69">
        <f>D14</f>
        <v>2361849.6705923318</v>
      </c>
      <c r="E15" s="69">
        <f t="shared" ref="E15:J15" si="1">E14</f>
        <v>2712457.7599723758</v>
      </c>
      <c r="F15" s="69">
        <f t="shared" si="1"/>
        <v>3114457.2836682913</v>
      </c>
      <c r="G15" s="69">
        <f t="shared" si="1"/>
        <v>3561952.1971976343</v>
      </c>
      <c r="H15" s="69">
        <f t="shared" si="1"/>
        <v>4056576.5009592888</v>
      </c>
      <c r="I15" s="69">
        <f t="shared" si="1"/>
        <v>4596792.1603140924</v>
      </c>
      <c r="J15" s="69">
        <f t="shared" si="1"/>
        <v>5193171.5847414592</v>
      </c>
    </row>
    <row r="16" spans="2:10">
      <c r="B16" s="59" t="s">
        <v>278</v>
      </c>
      <c r="C16" s="224">
        <f>IRR(C15:J15)</f>
        <v>0.12334363458709485</v>
      </c>
      <c r="D16" s="69"/>
      <c r="E16" s="69"/>
      <c r="F16" s="69"/>
      <c r="G16" s="69"/>
      <c r="H16" s="69"/>
      <c r="I16" s="69"/>
      <c r="J16" s="69"/>
    </row>
    <row r="17" spans="2:19">
      <c r="B17" s="59"/>
      <c r="C17" s="59"/>
      <c r="D17" s="59"/>
      <c r="E17" s="59"/>
      <c r="F17" s="59"/>
      <c r="G17" s="59"/>
      <c r="H17" s="59"/>
      <c r="I17" s="59"/>
      <c r="J17" s="59"/>
    </row>
    <row r="18" spans="2:19" ht="16.5">
      <c r="B18" s="225" t="s">
        <v>398</v>
      </c>
      <c r="C18" s="225"/>
      <c r="D18" s="226">
        <f>1/(1+$C$16)</f>
        <v>0.89019955177612942</v>
      </c>
      <c r="E18" s="227">
        <f t="shared" ref="E18:J18" si="2">D18/(1+$C$16)</f>
        <v>0.79245524198242179</v>
      </c>
      <c r="F18" s="227">
        <f t="shared" si="2"/>
        <v>0.70544330121539611</v>
      </c>
      <c r="G18" s="227">
        <f t="shared" si="2"/>
        <v>0.62798531054541873</v>
      </c>
      <c r="H18" s="227">
        <f t="shared" si="2"/>
        <v>0.55903224196952517</v>
      </c>
      <c r="I18" s="227">
        <f t="shared" si="2"/>
        <v>0.49765025122967604</v>
      </c>
      <c r="J18" s="227">
        <f t="shared" si="2"/>
        <v>0.44300803058593585</v>
      </c>
      <c r="L18" s="14"/>
      <c r="M18" s="14"/>
      <c r="N18" s="14"/>
      <c r="O18" s="14"/>
      <c r="P18" s="14"/>
      <c r="Q18" s="14"/>
      <c r="R18" s="14"/>
      <c r="S18" s="14"/>
    </row>
    <row r="19" spans="2:19">
      <c r="B19" s="59" t="s">
        <v>33</v>
      </c>
      <c r="C19" s="59"/>
      <c r="D19" s="69">
        <f t="shared" ref="D19:J19" si="3">D14*D18</f>
        <v>2102517.5181238926</v>
      </c>
      <c r="E19" s="69">
        <f t="shared" si="3"/>
        <v>2149501.3705460071</v>
      </c>
      <c r="F19" s="69">
        <f t="shared" si="3"/>
        <v>2197073.0276852949</v>
      </c>
      <c r="G19" s="69">
        <f t="shared" si="3"/>
        <v>2236853.6567050931</v>
      </c>
      <c r="H19" s="69">
        <f t="shared" si="3"/>
        <v>2267757.0560521628</v>
      </c>
      <c r="I19" s="69">
        <f t="shared" si="3"/>
        <v>2287594.7734309132</v>
      </c>
      <c r="J19" s="69">
        <f t="shared" si="3"/>
        <v>2300616.7162511572</v>
      </c>
      <c r="L19" s="6"/>
    </row>
    <row r="20" spans="2:19">
      <c r="B20" s="59" t="s">
        <v>34</v>
      </c>
      <c r="C20" s="59"/>
      <c r="D20" s="456">
        <f>SUM(D19:J19)</f>
        <v>15541914.118794521</v>
      </c>
      <c r="E20" s="456"/>
      <c r="F20" s="456"/>
      <c r="G20" s="456"/>
      <c r="H20" s="456"/>
      <c r="I20" s="456"/>
      <c r="J20" s="456"/>
      <c r="L20" s="6"/>
    </row>
    <row r="21" spans="2:19">
      <c r="B21" s="59"/>
      <c r="C21" s="59"/>
      <c r="D21" s="69"/>
      <c r="E21" s="69"/>
      <c r="F21" s="69"/>
      <c r="G21" s="69"/>
      <c r="H21" s="69"/>
      <c r="I21" s="69"/>
      <c r="J21" s="69"/>
    </row>
    <row r="22" spans="2:19">
      <c r="B22" s="8" t="s">
        <v>35</v>
      </c>
      <c r="C22" s="8"/>
      <c r="D22" s="457">
        <f>'1.Project Cost and MOF'!D12</f>
        <v>15541914.118794519</v>
      </c>
      <c r="E22" s="457"/>
      <c r="F22" s="457"/>
      <c r="G22" s="457"/>
      <c r="H22" s="457"/>
      <c r="I22" s="457"/>
      <c r="J22" s="457"/>
    </row>
    <row r="23" spans="2:19">
      <c r="F23" s="14">
        <f>D20-D22</f>
        <v>0</v>
      </c>
    </row>
    <row r="24" spans="2:19" ht="29.5" customHeight="1">
      <c r="B24" s="450" t="s">
        <v>415</v>
      </c>
      <c r="C24" s="450"/>
      <c r="D24" s="450"/>
      <c r="E24" s="450"/>
      <c r="F24" s="450"/>
      <c r="G24" s="450"/>
      <c r="H24" s="450"/>
      <c r="I24" s="450"/>
      <c r="J24" s="450"/>
    </row>
    <row r="25" spans="2:19">
      <c r="K25" s="14"/>
      <c r="L25" s="14"/>
      <c r="M25" s="14"/>
    </row>
    <row r="26" spans="2:19" ht="17.5">
      <c r="B26" s="411" t="s">
        <v>560</v>
      </c>
      <c r="C26" s="411"/>
      <c r="D26" s="411"/>
      <c r="E26" s="411"/>
      <c r="F26" s="411"/>
      <c r="G26" s="411"/>
      <c r="H26" s="411"/>
      <c r="I26" s="411"/>
    </row>
    <row r="27" spans="2:19">
      <c r="K27" s="14"/>
    </row>
    <row r="28" spans="2:19">
      <c r="B28" s="89" t="s">
        <v>0</v>
      </c>
      <c r="C28" s="80" t="s">
        <v>2</v>
      </c>
      <c r="D28" s="80" t="s">
        <v>3</v>
      </c>
      <c r="E28" s="80" t="s">
        <v>4</v>
      </c>
      <c r="F28" s="80" t="s">
        <v>5</v>
      </c>
      <c r="G28" s="80" t="s">
        <v>6</v>
      </c>
      <c r="H28" s="80" t="s">
        <v>169</v>
      </c>
      <c r="I28" s="80" t="s">
        <v>168</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Activity 1 - Flour Mill</v>
      </c>
      <c r="C32" s="74">
        <f>'6.Cons Profit &amp; Loss'!B8</f>
        <v>60521852.159999989</v>
      </c>
      <c r="D32" s="74">
        <f>'6.Cons Profit &amp; Loss'!C8</f>
        <v>69485505.264000013</v>
      </c>
      <c r="E32" s="74">
        <f>'6.Cons Profit &amp; Loss'!D8</f>
        <v>78576391.807200015</v>
      </c>
      <c r="F32" s="74">
        <f>'6.Cons Profit &amp; Loss'!E8</f>
        <v>88402653.241560012</v>
      </c>
      <c r="G32" s="74">
        <f>'6.Cons Profit &amp; Loss'!F8</f>
        <v>99015099.839838043</v>
      </c>
      <c r="H32" s="74">
        <f>'6.Cons Profit &amp; Loss'!G8</f>
        <v>110467784.46483998</v>
      </c>
      <c r="I32" s="74">
        <f>'6.Cons Profit &amp; Loss'!H8</f>
        <v>122818199.80274245</v>
      </c>
    </row>
    <row r="33" spans="2:9">
      <c r="B33" s="86" t="str">
        <f>'6.Cons Profit &amp; Loss'!A9</f>
        <v>Activity 2 - Cold Press Oil</v>
      </c>
      <c r="C33" s="74">
        <f>'6.Cons Profit &amp; Loss'!B9</f>
        <v>0</v>
      </c>
      <c r="D33" s="74">
        <f>'6.Cons Profit &amp; Loss'!C9</f>
        <v>0</v>
      </c>
      <c r="E33" s="74">
        <f>'6.Cons Profit &amp; Loss'!D9</f>
        <v>0</v>
      </c>
      <c r="F33" s="74">
        <f>'6.Cons Profit &amp; Loss'!E9</f>
        <v>0</v>
      </c>
      <c r="G33" s="74">
        <f>'6.Cons Profit &amp; Loss'!F9</f>
        <v>0</v>
      </c>
      <c r="H33" s="74">
        <f>'6.Cons Profit &amp; Loss'!G9</f>
        <v>0</v>
      </c>
      <c r="I33" s="74">
        <f>'6.Cons Profit &amp; Loss'!H9</f>
        <v>0</v>
      </c>
    </row>
    <row r="34" spans="2:9">
      <c r="B34" s="86" t="str">
        <f>'6.Cons Profit &amp; Loss'!A10</f>
        <v>Activity 2 - Warehouse</v>
      </c>
      <c r="C34" s="74">
        <f>'6.Cons Profit &amp; Loss'!B10</f>
        <v>1028160</v>
      </c>
      <c r="D34" s="74">
        <f>'6.Cons Profit &amp; Loss'!C10</f>
        <v>1156680</v>
      </c>
      <c r="E34" s="74">
        <f>'6.Cons Profit &amp; Loss'!D10</f>
        <v>1295481.6000000001</v>
      </c>
      <c r="F34" s="74">
        <f>'6.Cons Profit &amp; Loss'!E10</f>
        <v>1445271.6600000004</v>
      </c>
      <c r="G34" s="74">
        <f>'6.Cons Profit &amp; Loss'!F10</f>
        <v>1606802.0220000006</v>
      </c>
      <c r="H34" s="74">
        <f>'6.Cons Profit &amp; Loss'!G10</f>
        <v>1780872.241050001</v>
      </c>
      <c r="I34" s="74">
        <f>'6.Cons Profit &amp; Loss'!H10</f>
        <v>1968332.4769500012</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6 - Processing Unit - Horti Commodity</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61550012.159999989</v>
      </c>
      <c r="D39" s="74">
        <f t="shared" ref="D39:I39" si="4">SUM(D32:D38)</f>
        <v>70642185.264000013</v>
      </c>
      <c r="E39" s="74">
        <f t="shared" si="4"/>
        <v>79871873.407200009</v>
      </c>
      <c r="F39" s="74">
        <f t="shared" si="4"/>
        <v>89847924.901560009</v>
      </c>
      <c r="G39" s="74">
        <f t="shared" si="4"/>
        <v>100621901.86183804</v>
      </c>
      <c r="H39" s="74">
        <f t="shared" si="4"/>
        <v>112248656.70588998</v>
      </c>
      <c r="I39" s="74">
        <f t="shared" si="4"/>
        <v>124786532.27969246</v>
      </c>
    </row>
    <row r="40" spans="2:9">
      <c r="B40" s="73"/>
      <c r="C40" s="74"/>
      <c r="D40" s="74"/>
      <c r="E40" s="74"/>
      <c r="F40" s="74"/>
      <c r="G40" s="74"/>
      <c r="H40" s="74"/>
      <c r="I40" s="74"/>
    </row>
    <row r="41" spans="2:9">
      <c r="B41" s="73" t="s">
        <v>38</v>
      </c>
      <c r="C41" s="74">
        <f>'6.Cons Profit &amp; Loss'!B25</f>
        <v>57572284.32</v>
      </c>
      <c r="D41" s="74">
        <f>'6.Cons Profit &amp; Loss'!C25</f>
        <v>66043190.844000004</v>
      </c>
      <c r="E41" s="74">
        <f>'6.Cons Profit &amp; Loss'!D25</f>
        <v>74660678.51760003</v>
      </c>
      <c r="F41" s="74">
        <f>'6.Cons Profit &amp; Loss'!E25</f>
        <v>83974806.981450021</v>
      </c>
      <c r="G41" s="74">
        <f>'6.Cons Profit &amp; Loss'!F25</f>
        <v>94033696.595391035</v>
      </c>
      <c r="H41" s="74">
        <f>'6.Cons Profit &amp; Loss'!G25</f>
        <v>104888538.15327249</v>
      </c>
      <c r="I41" s="74">
        <f>'6.Cons Profit &amp; Loss'!H25</f>
        <v>116593779.62545373</v>
      </c>
    </row>
    <row r="42" spans="2:9">
      <c r="B42" s="73"/>
      <c r="C42" s="74"/>
      <c r="D42" s="74"/>
      <c r="E42" s="74"/>
      <c r="F42" s="74"/>
      <c r="G42" s="74"/>
      <c r="H42" s="74"/>
      <c r="I42" s="74"/>
    </row>
    <row r="43" spans="2:9">
      <c r="B43" s="75" t="s">
        <v>39</v>
      </c>
      <c r="C43" s="91">
        <f>C39-C41</f>
        <v>3977727.8399999887</v>
      </c>
      <c r="D43" s="91">
        <f t="shared" ref="D43:I43" si="5">D39-D41</f>
        <v>4598994.4200000092</v>
      </c>
      <c r="E43" s="91">
        <f t="shared" si="5"/>
        <v>5211194.8895999789</v>
      </c>
      <c r="F43" s="91">
        <f t="shared" si="5"/>
        <v>5873117.9201099873</v>
      </c>
      <c r="G43" s="91">
        <f t="shared" si="5"/>
        <v>6588205.2664470077</v>
      </c>
      <c r="H43" s="91">
        <f t="shared" si="5"/>
        <v>7360118.5526174903</v>
      </c>
      <c r="I43" s="91">
        <f t="shared" si="5"/>
        <v>8192752.6542387307</v>
      </c>
    </row>
    <row r="44" spans="2:9">
      <c r="B44" s="73"/>
      <c r="C44" s="74"/>
      <c r="D44" s="74"/>
      <c r="E44" s="74"/>
      <c r="F44" s="74"/>
      <c r="G44" s="74"/>
      <c r="H44" s="74"/>
      <c r="I44" s="74"/>
    </row>
    <row r="45" spans="2:9">
      <c r="B45" s="75" t="s">
        <v>41</v>
      </c>
      <c r="C45" s="91">
        <f>'6.Cons Profit &amp; Loss'!B36+'6.Cons Profit &amp; Loss'!B42+'6.Cons Profit &amp; Loss'!B43</f>
        <v>1269267.7429800001</v>
      </c>
      <c r="D45" s="91">
        <f>'6.Cons Profit &amp; Loss'!C36+'6.Cons Profit &amp; Loss'!C42+'6.Cons Profit &amp; Loss'!C43</f>
        <v>1304767.7429800001</v>
      </c>
      <c r="E45" s="91">
        <f>'6.Cons Profit &amp; Loss'!D36+'6.Cons Profit &amp; Loss'!D42+'6.Cons Profit &amp; Loss'!D43</f>
        <v>1342042.7429800001</v>
      </c>
      <c r="F45" s="91">
        <f>'6.Cons Profit &amp; Loss'!E36+'6.Cons Profit &amp; Loss'!E42+'6.Cons Profit &amp; Loss'!E43</f>
        <v>1381181.4929800001</v>
      </c>
      <c r="G45" s="91">
        <f>'6.Cons Profit &amp; Loss'!F36+'6.Cons Profit &amp; Loss'!F42+'6.Cons Profit &amp; Loss'!F43</f>
        <v>1422277.1804800001</v>
      </c>
      <c r="H45" s="91">
        <f>'6.Cons Profit &amp; Loss'!G36+'6.Cons Profit &amp; Loss'!G42+'6.Cons Profit &amp; Loss'!G43</f>
        <v>1450595.6523550004</v>
      </c>
      <c r="I45" s="91">
        <f>'6.Cons Profit &amp; Loss'!H36+'6.Cons Profit &amp; Loss'!H42+'6.Cons Profit &amp; Loss'!H43</f>
        <v>1495903.6478237503</v>
      </c>
    </row>
    <row r="46" spans="2:9">
      <c r="B46" s="73"/>
      <c r="C46" s="73"/>
      <c r="D46" s="73"/>
      <c r="E46" s="73"/>
      <c r="F46" s="73"/>
      <c r="G46" s="73"/>
      <c r="H46" s="73"/>
      <c r="I46" s="73"/>
    </row>
    <row r="47" spans="2:9">
      <c r="B47" s="73" t="s">
        <v>40</v>
      </c>
      <c r="C47" s="90">
        <f>C45/C43</f>
        <v>0.31909366201886846</v>
      </c>
      <c r="D47" s="90">
        <f>D45/D43</f>
        <v>0.2837071811406976</v>
      </c>
      <c r="E47" s="90">
        <f>E45/E43</f>
        <v>0.25753071443524883</v>
      </c>
      <c r="F47" s="90">
        <f>F45/F43</f>
        <v>0.23517005988433046</v>
      </c>
      <c r="G47" s="90">
        <f>G45/G43</f>
        <v>0.21588234169379916</v>
      </c>
      <c r="H47" s="90">
        <f t="shared" ref="H47:I47" si="6">H45/H43</f>
        <v>0.19708862594871149</v>
      </c>
      <c r="I47" s="90">
        <f t="shared" si="6"/>
        <v>0.18258865011014414</v>
      </c>
    </row>
    <row r="48" spans="2:9">
      <c r="B48" s="72"/>
      <c r="C48" s="72"/>
      <c r="D48" s="72"/>
      <c r="E48" s="72"/>
      <c r="F48" s="72"/>
      <c r="G48" s="72"/>
      <c r="H48" s="72"/>
      <c r="I48" s="72"/>
    </row>
    <row r="49" spans="2:10">
      <c r="B49" s="92" t="s">
        <v>134</v>
      </c>
      <c r="C49" s="93">
        <f>AVERAGE(C47:I47)</f>
        <v>0.24158017646168575</v>
      </c>
      <c r="D49" s="72"/>
      <c r="E49" s="72"/>
      <c r="F49" s="72"/>
      <c r="G49" s="72"/>
      <c r="H49" s="72"/>
      <c r="I49" s="72"/>
    </row>
    <row r="51" spans="2:10" ht="41.5" customHeight="1">
      <c r="B51" s="451" t="s">
        <v>416</v>
      </c>
      <c r="C51" s="451"/>
      <c r="D51" s="451"/>
      <c r="E51" s="451"/>
      <c r="F51" s="451"/>
      <c r="G51" s="451"/>
      <c r="H51" s="451"/>
      <c r="I51" s="451"/>
      <c r="J51" s="451"/>
    </row>
    <row r="54" spans="2:10" ht="17.5">
      <c r="B54" s="411" t="s">
        <v>561</v>
      </c>
      <c r="C54" s="411"/>
      <c r="D54" s="411"/>
      <c r="E54" s="411"/>
      <c r="F54" s="411"/>
      <c r="G54" s="411"/>
      <c r="H54" s="411"/>
      <c r="I54" s="411"/>
    </row>
    <row r="56" spans="2:10">
      <c r="B56" s="64" t="s">
        <v>29</v>
      </c>
      <c r="C56" s="65" t="s">
        <v>2</v>
      </c>
      <c r="D56" s="65" t="s">
        <v>3</v>
      </c>
      <c r="E56" s="65" t="s">
        <v>4</v>
      </c>
      <c r="F56" s="65" t="s">
        <v>5</v>
      </c>
      <c r="G56" s="65" t="s">
        <v>6</v>
      </c>
      <c r="H56" s="65" t="s">
        <v>169</v>
      </c>
      <c r="I56" s="65" t="s">
        <v>168</v>
      </c>
    </row>
    <row r="57" spans="2:10">
      <c r="B57" s="73"/>
      <c r="C57" s="73"/>
      <c r="D57" s="73"/>
      <c r="E57" s="73"/>
      <c r="F57" s="73"/>
      <c r="G57" s="73"/>
      <c r="H57" s="73"/>
      <c r="I57" s="73"/>
    </row>
    <row r="58" spans="2:10">
      <c r="B58" s="73" t="s">
        <v>371</v>
      </c>
      <c r="C58" s="275">
        <f>'6.Cons Profit &amp; Loss'!B51</f>
        <v>1802581.9276123317</v>
      </c>
      <c r="D58" s="275">
        <f>'6.Cons Profit &amp; Loss'!C51</f>
        <v>2153190.0169923757</v>
      </c>
      <c r="E58" s="275">
        <f>'6.Cons Profit &amp; Loss'!D51</f>
        <v>2555189.5406882912</v>
      </c>
      <c r="F58" s="275">
        <f>'6.Cons Profit &amp; Loss'!E51</f>
        <v>3002684.4542176342</v>
      </c>
      <c r="G58" s="275">
        <f>'6.Cons Profit &amp; Loss'!F51</f>
        <v>3497308.7579792887</v>
      </c>
      <c r="H58" s="275">
        <f>'6.Cons Profit &amp; Loss'!G51</f>
        <v>4052356.4173340928</v>
      </c>
      <c r="I58" s="275">
        <f>'6.Cons Profit &amp; Loss'!H51</f>
        <v>4648735.8417614596</v>
      </c>
    </row>
    <row r="59" spans="2:10">
      <c r="B59" s="73"/>
      <c r="C59" s="275"/>
      <c r="D59" s="275"/>
      <c r="E59" s="275"/>
      <c r="F59" s="275"/>
      <c r="G59" s="275"/>
      <c r="H59" s="275"/>
      <c r="I59" s="275"/>
    </row>
    <row r="60" spans="2:10">
      <c r="B60" s="73" t="s">
        <v>42</v>
      </c>
      <c r="C60" s="275">
        <f>'6.Cons Profit &amp; Loss'!B42</f>
        <v>544435.74297999998</v>
      </c>
      <c r="D60" s="275">
        <f>'6.Cons Profit &amp; Loss'!C42</f>
        <v>544435.74297999998</v>
      </c>
      <c r="E60" s="275">
        <f>'6.Cons Profit &amp; Loss'!D42</f>
        <v>544435.74297999998</v>
      </c>
      <c r="F60" s="275">
        <f>'6.Cons Profit &amp; Loss'!E42</f>
        <v>544435.74297999998</v>
      </c>
      <c r="G60" s="275">
        <f>'6.Cons Profit &amp; Loss'!F42</f>
        <v>544435.74297999998</v>
      </c>
      <c r="H60" s="275">
        <f>'6.Cons Profit &amp; Loss'!G42</f>
        <v>544435.74297999998</v>
      </c>
      <c r="I60" s="275">
        <f>'6.Cons Profit &amp; Loss'!H42</f>
        <v>544435.74297999998</v>
      </c>
    </row>
    <row r="61" spans="2:10">
      <c r="B61" s="85" t="s">
        <v>48</v>
      </c>
      <c r="C61" s="275">
        <f>'6.Cons Profit &amp; Loss'!B43</f>
        <v>14832</v>
      </c>
      <c r="D61" s="275">
        <f>'6.Cons Profit &amp; Loss'!C43</f>
        <v>14832</v>
      </c>
      <c r="E61" s="275">
        <f>'6.Cons Profit &amp; Loss'!D43</f>
        <v>14832</v>
      </c>
      <c r="F61" s="275">
        <f>'6.Cons Profit &amp; Loss'!E43</f>
        <v>14832</v>
      </c>
      <c r="G61" s="275">
        <f>'6.Cons Profit &amp; Loss'!F43</f>
        <v>14832</v>
      </c>
      <c r="H61" s="275">
        <f>'6.Cons Profit &amp; Loss'!G43</f>
        <v>0</v>
      </c>
      <c r="I61" s="275">
        <f>'6.Cons Profit &amp; Loss'!H43</f>
        <v>0</v>
      </c>
    </row>
    <row r="62" spans="2:10">
      <c r="B62" s="73"/>
      <c r="C62" s="275"/>
      <c r="D62" s="275"/>
      <c r="E62" s="275"/>
      <c r="F62" s="275"/>
      <c r="G62" s="275"/>
      <c r="H62" s="275"/>
      <c r="I62" s="275"/>
    </row>
    <row r="63" spans="2:10">
      <c r="B63" s="73" t="s">
        <v>32</v>
      </c>
      <c r="C63" s="275">
        <f>SUM(C58:C61)</f>
        <v>2361849.6705923318</v>
      </c>
      <c r="D63" s="275">
        <f t="shared" ref="D63:I63" si="7">SUM(D58:D61)</f>
        <v>2712457.7599723758</v>
      </c>
      <c r="E63" s="275">
        <f t="shared" si="7"/>
        <v>3114457.2836682913</v>
      </c>
      <c r="F63" s="275">
        <f t="shared" si="7"/>
        <v>3561952.1971976343</v>
      </c>
      <c r="G63" s="275">
        <f t="shared" si="7"/>
        <v>4056576.5009592888</v>
      </c>
      <c r="H63" s="275">
        <f t="shared" si="7"/>
        <v>4596792.1603140924</v>
      </c>
      <c r="I63" s="275">
        <f t="shared" si="7"/>
        <v>5193171.5847414592</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2147136.0641748472</v>
      </c>
      <c r="D67" s="74">
        <f t="shared" ref="D67:I67" si="9">D63*D65</f>
        <v>2241700.6280763433</v>
      </c>
      <c r="E67" s="74">
        <f t="shared" si="9"/>
        <v>2339937.8539957106</v>
      </c>
      <c r="F67" s="74">
        <f t="shared" si="9"/>
        <v>2432861.2780531612</v>
      </c>
      <c r="G67" s="74">
        <f t="shared" si="9"/>
        <v>2518814.8480663188</v>
      </c>
      <c r="H67" s="74">
        <f t="shared" si="9"/>
        <v>2594769.3363728882</v>
      </c>
      <c r="I67" s="74">
        <f t="shared" si="9"/>
        <v>2664918.1580751031</v>
      </c>
    </row>
    <row r="68" spans="2:10">
      <c r="B68" s="72"/>
      <c r="C68" s="88"/>
      <c r="D68" s="88"/>
      <c r="E68" s="88"/>
      <c r="F68" s="88"/>
      <c r="G68" s="88"/>
      <c r="H68" s="88"/>
      <c r="I68" s="88"/>
    </row>
    <row r="69" spans="2:10" ht="16.5">
      <c r="B69" s="11" t="s">
        <v>45</v>
      </c>
      <c r="C69" s="88">
        <f>SUM(C67:I67)</f>
        <v>16940138.166814372</v>
      </c>
      <c r="D69" s="88"/>
      <c r="E69" s="88"/>
      <c r="F69" s="88"/>
      <c r="G69" s="88"/>
      <c r="H69" s="88"/>
      <c r="I69" s="88"/>
    </row>
    <row r="70" spans="2:10">
      <c r="B70" s="72"/>
      <c r="C70" s="88"/>
      <c r="D70" s="88"/>
      <c r="E70" s="88"/>
      <c r="F70" s="88"/>
      <c r="G70" s="88"/>
      <c r="H70" s="88"/>
      <c r="I70" s="88"/>
    </row>
    <row r="71" spans="2:10" ht="16.5">
      <c r="B71" s="11" t="s">
        <v>46</v>
      </c>
      <c r="C71" s="88">
        <f>'1.Project Cost and MOF'!D12</f>
        <v>15541914.118794519</v>
      </c>
      <c r="D71" s="88"/>
      <c r="E71" s="88"/>
      <c r="F71" s="88"/>
      <c r="G71" s="88"/>
      <c r="H71" s="88"/>
      <c r="I71" s="88"/>
    </row>
    <row r="72" spans="2:10">
      <c r="B72" s="72"/>
      <c r="C72" s="87"/>
      <c r="D72" s="72"/>
      <c r="E72" s="72"/>
      <c r="F72" s="72"/>
      <c r="G72" s="72"/>
      <c r="H72" s="72"/>
      <c r="I72" s="72"/>
    </row>
    <row r="73" spans="2:10" ht="16.5">
      <c r="B73" s="11" t="s">
        <v>47</v>
      </c>
      <c r="C73" s="87">
        <f>C69-C71</f>
        <v>1398224.0480198525</v>
      </c>
      <c r="D73" s="72"/>
      <c r="E73" s="72"/>
      <c r="F73" s="72"/>
      <c r="G73" s="72"/>
      <c r="H73" s="72"/>
      <c r="I73" s="72"/>
    </row>
    <row r="75" spans="2:10" ht="35.15" customHeight="1">
      <c r="B75" s="442" t="s">
        <v>417</v>
      </c>
      <c r="C75" s="442"/>
      <c r="D75" s="442"/>
      <c r="E75" s="442"/>
      <c r="F75" s="442"/>
      <c r="G75" s="442"/>
      <c r="H75" s="442"/>
      <c r="I75" s="442"/>
      <c r="J75" s="442"/>
    </row>
    <row r="76" spans="2:10" ht="17.5">
      <c r="B76" s="411" t="s">
        <v>562</v>
      </c>
      <c r="C76" s="411"/>
      <c r="D76" s="411"/>
      <c r="E76" s="411"/>
      <c r="F76" s="411"/>
      <c r="G76" s="411"/>
      <c r="H76" s="411"/>
      <c r="I76" s="411"/>
    </row>
    <row r="77" spans="2:10">
      <c r="B77" s="72"/>
      <c r="C77" s="72"/>
      <c r="D77" s="72"/>
      <c r="E77" s="72"/>
      <c r="F77" s="72"/>
      <c r="G77" s="72"/>
      <c r="H77" s="72"/>
      <c r="I77" s="72"/>
    </row>
    <row r="78" spans="2:10" ht="15.5">
      <c r="B78" s="57" t="s">
        <v>0</v>
      </c>
      <c r="C78" s="57" t="s">
        <v>2</v>
      </c>
      <c r="D78" s="57" t="s">
        <v>3</v>
      </c>
      <c r="E78" s="57" t="s">
        <v>4</v>
      </c>
      <c r="F78" s="57" t="s">
        <v>5</v>
      </c>
      <c r="G78" s="57" t="s">
        <v>6</v>
      </c>
      <c r="H78" s="57" t="s">
        <v>169</v>
      </c>
      <c r="I78" s="57" t="s">
        <v>168</v>
      </c>
    </row>
    <row r="79" spans="2:10" ht="15.5">
      <c r="B79" s="54"/>
      <c r="C79" s="55"/>
      <c r="D79" s="55"/>
      <c r="E79" s="55"/>
      <c r="F79" s="55"/>
      <c r="G79" s="55"/>
      <c r="H79" s="55"/>
      <c r="I79" s="55"/>
    </row>
    <row r="80" spans="2:10">
      <c r="B80" s="75" t="s">
        <v>27</v>
      </c>
      <c r="C80" s="74">
        <f>'6.Cons Profit &amp; Loss'!B51</f>
        <v>1802581.9276123317</v>
      </c>
      <c r="D80" s="74">
        <f>'6.Cons Profit &amp; Loss'!C51</f>
        <v>2153190.0169923757</v>
      </c>
      <c r="E80" s="74">
        <f>'6.Cons Profit &amp; Loss'!D51</f>
        <v>2555189.5406882912</v>
      </c>
      <c r="F80" s="74">
        <f>'6.Cons Profit &amp; Loss'!E51</f>
        <v>3002684.4542176342</v>
      </c>
      <c r="G80" s="74">
        <f>'6.Cons Profit &amp; Loss'!F51</f>
        <v>3497308.7579792887</v>
      </c>
      <c r="H80" s="74">
        <f>'6.Cons Profit &amp; Loss'!G51</f>
        <v>4052356.4173340928</v>
      </c>
      <c r="I80" s="74">
        <f>'6.Cons Profit &amp; Loss'!H51</f>
        <v>4648735.8417614596</v>
      </c>
    </row>
    <row r="81" spans="2:10">
      <c r="B81" s="73"/>
      <c r="C81" s="73"/>
      <c r="D81" s="73"/>
      <c r="E81" s="73"/>
      <c r="F81" s="73"/>
      <c r="G81" s="73"/>
      <c r="H81" s="73"/>
      <c r="I81" s="73"/>
    </row>
    <row r="82" spans="2:10">
      <c r="B82" s="75" t="s">
        <v>124</v>
      </c>
      <c r="C82" s="459">
        <f>AVERAGE(C80:I80)</f>
        <v>3101720.9937979244</v>
      </c>
      <c r="D82" s="459"/>
      <c r="E82" s="459"/>
      <c r="F82" s="459"/>
      <c r="G82" s="459"/>
      <c r="H82" s="459"/>
      <c r="I82" s="459"/>
    </row>
    <row r="83" spans="2:10">
      <c r="B83" s="75" t="s">
        <v>125</v>
      </c>
      <c r="C83" s="459">
        <f>'1.Project Cost and MOF'!D12</f>
        <v>15541914.118794519</v>
      </c>
      <c r="D83" s="459"/>
      <c r="E83" s="459"/>
      <c r="F83" s="459"/>
      <c r="G83" s="459"/>
      <c r="H83" s="459"/>
      <c r="I83" s="459"/>
    </row>
    <row r="84" spans="2:10">
      <c r="B84" s="73"/>
      <c r="C84" s="73"/>
      <c r="D84" s="73"/>
      <c r="E84" s="73"/>
      <c r="F84" s="73"/>
      <c r="G84" s="73"/>
      <c r="H84" s="73"/>
      <c r="I84" s="73"/>
    </row>
    <row r="85" spans="2:10">
      <c r="B85" s="223" t="s">
        <v>126</v>
      </c>
      <c r="C85" s="460">
        <f>C82/C83</f>
        <v>0.19957136361003799</v>
      </c>
      <c r="D85" s="460"/>
      <c r="E85" s="460"/>
      <c r="F85" s="460"/>
      <c r="G85" s="460"/>
      <c r="H85" s="460"/>
      <c r="I85" s="460"/>
    </row>
    <row r="88" spans="2:10">
      <c r="B88" s="458" t="s">
        <v>418</v>
      </c>
      <c r="C88" s="458"/>
      <c r="D88" s="458"/>
      <c r="E88" s="458"/>
      <c r="F88" s="458"/>
      <c r="G88" s="458"/>
      <c r="H88" s="458"/>
      <c r="I88" s="458"/>
    </row>
    <row r="90" spans="2:10" ht="17.5">
      <c r="B90" s="411" t="s">
        <v>563</v>
      </c>
      <c r="C90" s="411"/>
      <c r="D90" s="411"/>
      <c r="E90" s="411"/>
      <c r="F90" s="411"/>
      <c r="G90" s="411"/>
      <c r="H90" s="411"/>
      <c r="I90" s="411"/>
      <c r="J90" s="411"/>
    </row>
    <row r="92" spans="2:10">
      <c r="B92" s="80" t="s">
        <v>0</v>
      </c>
      <c r="C92" s="80" t="s">
        <v>330</v>
      </c>
      <c r="D92" s="80" t="s">
        <v>2</v>
      </c>
      <c r="E92" s="80" t="s">
        <v>3</v>
      </c>
      <c r="F92" s="80" t="s">
        <v>4</v>
      </c>
      <c r="G92" s="80" t="s">
        <v>5</v>
      </c>
      <c r="H92" s="80" t="s">
        <v>6</v>
      </c>
      <c r="I92" s="80" t="s">
        <v>169</v>
      </c>
      <c r="J92" s="80" t="s">
        <v>168</v>
      </c>
    </row>
    <row r="93" spans="2:10">
      <c r="B93" s="81"/>
      <c r="C93" s="81"/>
      <c r="D93" s="82"/>
      <c r="E93" s="82"/>
      <c r="F93" s="82"/>
      <c r="G93" s="82"/>
      <c r="H93" s="82"/>
      <c r="I93" s="82"/>
      <c r="J93" s="82"/>
    </row>
    <row r="94" spans="2:10">
      <c r="B94" s="9" t="s">
        <v>279</v>
      </c>
      <c r="C94" s="83">
        <f>'1.Project Cost and MOF'!D12</f>
        <v>15541914.118794519</v>
      </c>
      <c r="D94" s="82"/>
      <c r="E94" s="82"/>
      <c r="F94" s="82"/>
      <c r="G94" s="82"/>
      <c r="H94" s="82"/>
      <c r="I94" s="82"/>
      <c r="J94" s="82"/>
    </row>
    <row r="95" spans="2:10">
      <c r="B95" s="9" t="str">
        <f>B58</f>
        <v>Profit after Tax &amp; Dividend</v>
      </c>
      <c r="C95" s="9"/>
      <c r="D95" s="20">
        <f>'6.Cons Profit &amp; Loss'!B51</f>
        <v>1802581.9276123317</v>
      </c>
      <c r="E95" s="20">
        <f>'6.Cons Profit &amp; Loss'!C51</f>
        <v>2153190.0169923757</v>
      </c>
      <c r="F95" s="20">
        <f>'6.Cons Profit &amp; Loss'!D51</f>
        <v>2555189.5406882912</v>
      </c>
      <c r="G95" s="20">
        <f>'6.Cons Profit &amp; Loss'!E51</f>
        <v>3002684.4542176342</v>
      </c>
      <c r="H95" s="20">
        <f>'6.Cons Profit &amp; Loss'!F51</f>
        <v>3497308.7579792887</v>
      </c>
      <c r="I95" s="20">
        <f>'6.Cons Profit &amp; Loss'!G51</f>
        <v>4052356.4173340928</v>
      </c>
      <c r="J95" s="20">
        <f>'6.Cons Profit &amp; Loss'!H51</f>
        <v>4648735.8417614596</v>
      </c>
    </row>
    <row r="96" spans="2:10">
      <c r="B96" s="9" t="str">
        <f>B60</f>
        <v>Add: Deprication</v>
      </c>
      <c r="C96" s="9"/>
      <c r="D96" s="71">
        <f>'6.Cons Profit &amp; Loss'!B42</f>
        <v>544435.74297999998</v>
      </c>
      <c r="E96" s="71">
        <f>'6.Cons Profit &amp; Loss'!C42</f>
        <v>544435.74297999998</v>
      </c>
      <c r="F96" s="71">
        <f>'6.Cons Profit &amp; Loss'!D42</f>
        <v>544435.74297999998</v>
      </c>
      <c r="G96" s="71">
        <f>'6.Cons Profit &amp; Loss'!E42</f>
        <v>544435.74297999998</v>
      </c>
      <c r="H96" s="71">
        <f>'6.Cons Profit &amp; Loss'!F42</f>
        <v>544435.74297999998</v>
      </c>
      <c r="I96" s="71">
        <f>'6.Cons Profit &amp; Loss'!G42</f>
        <v>544435.74297999998</v>
      </c>
      <c r="J96" s="71">
        <f>'6.Cons Profit &amp; Loss'!H42</f>
        <v>544435.74297999998</v>
      </c>
    </row>
    <row r="97" spans="2:10">
      <c r="B97" s="9" t="str">
        <f>B61</f>
        <v>Add. Preliminary exp Written off</v>
      </c>
      <c r="C97" s="9"/>
      <c r="D97" s="71">
        <f>'6.Cons Profit &amp; Loss'!B43</f>
        <v>14832</v>
      </c>
      <c r="E97" s="71">
        <f>'6.Cons Profit &amp; Loss'!C43</f>
        <v>14832</v>
      </c>
      <c r="F97" s="71">
        <f>'6.Cons Profit &amp; Loss'!D43</f>
        <v>14832</v>
      </c>
      <c r="G97" s="71">
        <f>'6.Cons Profit &amp; Loss'!E43</f>
        <v>14832</v>
      </c>
      <c r="H97" s="71">
        <f>'6.Cons Profit &amp; Loss'!F43</f>
        <v>14832</v>
      </c>
      <c r="I97" s="71">
        <f>'6.Cons Profit &amp; Loss'!G43</f>
        <v>0</v>
      </c>
      <c r="J97" s="71">
        <f>'6.Cons Profit &amp; Loss'!H43</f>
        <v>0</v>
      </c>
    </row>
    <row r="98" spans="2:10">
      <c r="B98" s="9" t="str">
        <f>B63</f>
        <v xml:space="preserve">Net Cash Accrual (A)      </v>
      </c>
      <c r="C98" s="9"/>
      <c r="D98" s="222">
        <f>SUM(D95:D97)</f>
        <v>2361849.6705923318</v>
      </c>
      <c r="E98" s="222">
        <f t="shared" ref="E98:J98" si="10">SUM(E95:E97)</f>
        <v>2712457.7599723758</v>
      </c>
      <c r="F98" s="222">
        <f t="shared" si="10"/>
        <v>3114457.2836682913</v>
      </c>
      <c r="G98" s="222">
        <f t="shared" si="10"/>
        <v>3561952.1971976343</v>
      </c>
      <c r="H98" s="222">
        <f t="shared" si="10"/>
        <v>4056576.5009592888</v>
      </c>
      <c r="I98" s="222">
        <f t="shared" si="10"/>
        <v>4596792.1603140924</v>
      </c>
      <c r="J98" s="222">
        <f t="shared" si="10"/>
        <v>5193171.5847414592</v>
      </c>
    </row>
    <row r="99" spans="2:10">
      <c r="B99" s="9" t="s">
        <v>280</v>
      </c>
      <c r="C99" s="84"/>
      <c r="D99" s="56">
        <f>D98-C94</f>
        <v>-13180064.448202187</v>
      </c>
      <c r="E99" s="56">
        <f>D99+E98</f>
        <v>-10467606.68822981</v>
      </c>
      <c r="F99" s="56">
        <f>E99+F98</f>
        <v>-7353149.4045615196</v>
      </c>
      <c r="G99" s="56">
        <f>F99+G98</f>
        <v>-3791197.2073638854</v>
      </c>
      <c r="H99" s="56">
        <f>G99+H98</f>
        <v>265379.29359540343</v>
      </c>
      <c r="I99" s="56">
        <f t="shared" ref="I99:J99" si="11">H99+I98</f>
        <v>4862171.4539094958</v>
      </c>
      <c r="J99" s="56">
        <f t="shared" si="11"/>
        <v>10055343.038650956</v>
      </c>
    </row>
    <row r="101" spans="2:10">
      <c r="B101" s="5" t="s">
        <v>281</v>
      </c>
      <c r="D101" s="50">
        <f>4+(-G99/H98)</f>
        <v>4.9345804785062857</v>
      </c>
    </row>
    <row r="103" spans="2:10">
      <c r="B103" s="458" t="s">
        <v>419</v>
      </c>
      <c r="C103" s="458"/>
      <c r="D103" s="458"/>
      <c r="E103" s="458"/>
      <c r="F103" s="458"/>
      <c r="G103" s="458"/>
      <c r="H103" s="458"/>
      <c r="I103" s="458"/>
      <c r="J103" s="458"/>
    </row>
    <row r="105" spans="2:10" ht="17.5">
      <c r="B105" s="411" t="s">
        <v>564</v>
      </c>
      <c r="C105" s="411"/>
      <c r="D105" s="411"/>
      <c r="E105" s="411"/>
      <c r="F105" s="411"/>
      <c r="G105" s="411"/>
      <c r="H105" s="411"/>
      <c r="I105" s="411"/>
    </row>
    <row r="107" spans="2:10" ht="15.5">
      <c r="B107" s="57" t="s">
        <v>0</v>
      </c>
      <c r="C107" s="57" t="s">
        <v>2</v>
      </c>
      <c r="D107" s="57" t="s">
        <v>3</v>
      </c>
      <c r="E107" s="57" t="s">
        <v>4</v>
      </c>
      <c r="F107" s="57" t="s">
        <v>5</v>
      </c>
      <c r="G107" s="57" t="s">
        <v>6</v>
      </c>
      <c r="H107" s="57" t="s">
        <v>169</v>
      </c>
      <c r="I107" s="57" t="s">
        <v>168</v>
      </c>
    </row>
    <row r="108" spans="2:10" ht="15.5">
      <c r="B108" s="54"/>
      <c r="C108" s="55"/>
      <c r="D108" s="55"/>
      <c r="E108" s="55"/>
      <c r="F108" s="55"/>
      <c r="G108" s="55"/>
      <c r="H108" s="55"/>
      <c r="I108" s="55"/>
    </row>
    <row r="109" spans="2:10">
      <c r="B109" s="73" t="s">
        <v>333</v>
      </c>
      <c r="C109" s="74">
        <f>'6.Cons Profit &amp; Loss'!B40</f>
        <v>3267727.8399999887</v>
      </c>
      <c r="D109" s="74">
        <f>'6.Cons Profit &amp; Loss'!C40</f>
        <v>3853494.4200000092</v>
      </c>
      <c r="E109" s="74">
        <f>'6.Cons Profit &amp; Loss'!D40</f>
        <v>4428419.8895999789</v>
      </c>
      <c r="F109" s="74">
        <f>'6.Cons Profit &amp; Loss'!E40</f>
        <v>5051204.1701099873</v>
      </c>
      <c r="G109" s="74">
        <f>'6.Cons Profit &amp; Loss'!F40</f>
        <v>5725195.8289470077</v>
      </c>
      <c r="H109" s="74">
        <f>'6.Cons Profit &amp; Loss'!G40</f>
        <v>6453958.6432424933</v>
      </c>
      <c r="I109" s="74">
        <f>'6.Cons Profit &amp; Loss'!H40</f>
        <v>7241284.7493949831</v>
      </c>
    </row>
    <row r="110" spans="2:10">
      <c r="B110" s="75" t="s">
        <v>1</v>
      </c>
      <c r="C110" s="76">
        <f t="shared" ref="C110:I110" si="12">SUM(C109:C109)</f>
        <v>3267727.8399999887</v>
      </c>
      <c r="D110" s="76">
        <f t="shared" si="12"/>
        <v>3853494.4200000092</v>
      </c>
      <c r="E110" s="76">
        <f t="shared" si="12"/>
        <v>4428419.8895999789</v>
      </c>
      <c r="F110" s="76">
        <f t="shared" si="12"/>
        <v>5051204.1701099873</v>
      </c>
      <c r="G110" s="76">
        <f t="shared" si="12"/>
        <v>5725195.8289470077</v>
      </c>
      <c r="H110" s="76">
        <f t="shared" si="12"/>
        <v>6453958.6432424933</v>
      </c>
      <c r="I110" s="76">
        <f t="shared" si="12"/>
        <v>7241284.7493949831</v>
      </c>
    </row>
    <row r="111" spans="2:10">
      <c r="B111" s="73"/>
      <c r="C111" s="73"/>
      <c r="D111" s="73"/>
      <c r="E111" s="73"/>
      <c r="F111" s="73"/>
      <c r="G111" s="73"/>
      <c r="H111" s="73"/>
      <c r="I111" s="73"/>
    </row>
    <row r="112" spans="2:10">
      <c r="B112" s="73" t="s">
        <v>282</v>
      </c>
      <c r="C112" s="77">
        <f>'8.Cash Flow '!C26+'8.Cash Flow '!C27</f>
        <v>703936.96527900058</v>
      </c>
      <c r="D112" s="77">
        <f>'8.Cash Flow '!D26+'8.Cash Flow '!D27</f>
        <v>914313.93055800139</v>
      </c>
      <c r="E112" s="77">
        <f>'8.Cash Flow '!E26+'8.Cash Flow '!E27</f>
        <v>914313.93055800127</v>
      </c>
      <c r="F112" s="77">
        <f>'8.Cash Flow '!F26+'8.Cash Flow '!F27</f>
        <v>914313.93055800139</v>
      </c>
      <c r="G112" s="77">
        <f>'8.Cash Flow '!G26+'8.Cash Flow '!G27</f>
        <v>914313.93055800116</v>
      </c>
      <c r="H112" s="77">
        <f>'8.Cash Flow '!H26+'8.Cash Flow '!H27</f>
        <v>914313.93055800127</v>
      </c>
      <c r="I112" s="77">
        <f>'8.Cash Flow '!I26+'8.Cash Flow '!I27</f>
        <v>914313.93055800127</v>
      </c>
    </row>
    <row r="113" spans="2:18">
      <c r="B113" s="73"/>
      <c r="C113" s="73"/>
      <c r="D113" s="73"/>
      <c r="E113" s="73"/>
      <c r="F113" s="73"/>
      <c r="G113" s="73"/>
      <c r="H113" s="73"/>
      <c r="I113" s="73"/>
    </row>
    <row r="114" spans="2:18">
      <c r="B114" s="75" t="s">
        <v>331</v>
      </c>
      <c r="C114" s="78">
        <f>C110/C112</f>
        <v>4.6420745054990071</v>
      </c>
      <c r="D114" s="78">
        <f t="shared" ref="D114:I114" si="13">D110/D112</f>
        <v>4.2146294518866627</v>
      </c>
      <c r="E114" s="78">
        <f t="shared" si="13"/>
        <v>4.8434347783559817</v>
      </c>
      <c r="F114" s="78">
        <f t="shared" si="13"/>
        <v>5.5245840638425596</v>
      </c>
      <c r="G114" s="78">
        <f t="shared" si="13"/>
        <v>6.261739690931921</v>
      </c>
      <c r="H114" s="78">
        <f t="shared" si="13"/>
        <v>7.0587994205706508</v>
      </c>
      <c r="I114" s="78">
        <f t="shared" si="13"/>
        <v>7.9199107739457304</v>
      </c>
    </row>
    <row r="115" spans="2:18">
      <c r="B115" s="72"/>
      <c r="C115" s="72"/>
      <c r="D115" s="72"/>
      <c r="E115" s="72"/>
      <c r="F115" s="72"/>
      <c r="G115" s="72"/>
      <c r="H115" s="72"/>
      <c r="I115" s="72"/>
    </row>
    <row r="116" spans="2:18">
      <c r="B116" s="72" t="s">
        <v>332</v>
      </c>
      <c r="C116" s="79">
        <f>AVERAGE(C114:I114)</f>
        <v>5.7807389550046446</v>
      </c>
      <c r="D116" s="72"/>
      <c r="E116" s="72"/>
      <c r="F116" s="72"/>
      <c r="G116" s="72"/>
      <c r="H116" s="72"/>
      <c r="I116" s="72"/>
    </row>
    <row r="118" spans="2:18" ht="29.5" customHeight="1">
      <c r="B118" s="442" t="s">
        <v>420</v>
      </c>
      <c r="C118" s="442"/>
      <c r="D118" s="442"/>
      <c r="E118" s="442"/>
      <c r="F118" s="442"/>
      <c r="G118" s="442"/>
      <c r="H118" s="442"/>
      <c r="I118" s="442"/>
      <c r="J118" s="442"/>
    </row>
    <row r="120" spans="2:18" ht="21">
      <c r="B120" s="453" t="s">
        <v>565</v>
      </c>
      <c r="C120" s="454"/>
      <c r="D120" s="454"/>
      <c r="E120" s="454"/>
      <c r="F120" s="454"/>
      <c r="G120" s="454"/>
      <c r="H120" s="454"/>
      <c r="I120" s="454"/>
      <c r="K120" s="455"/>
      <c r="L120" s="455"/>
      <c r="M120" s="455"/>
      <c r="N120" s="455"/>
      <c r="O120" s="455"/>
      <c r="P120" s="455"/>
      <c r="Q120" s="455"/>
      <c r="R120" s="455"/>
    </row>
    <row r="121" spans="2:18">
      <c r="B121" s="64" t="s">
        <v>346</v>
      </c>
      <c r="C121" s="65" t="s">
        <v>2</v>
      </c>
      <c r="D121" s="65" t="s">
        <v>3</v>
      </c>
      <c r="E121" s="65" t="s">
        <v>4</v>
      </c>
      <c r="F121" s="65" t="s">
        <v>5</v>
      </c>
      <c r="G121" s="65" t="s">
        <v>6</v>
      </c>
      <c r="H121" s="65" t="s">
        <v>169</v>
      </c>
      <c r="I121" s="65" t="s">
        <v>168</v>
      </c>
    </row>
    <row r="122" spans="2:18">
      <c r="B122" s="59" t="str">
        <f>'6.Cons Profit &amp; Loss'!A8</f>
        <v>Activity 1 - Flour Mill</v>
      </c>
      <c r="C122" s="272">
        <f>'6.Cons Profit &amp; Loss'!B8*(1+$M$123)</f>
        <v>63547944.767999992</v>
      </c>
      <c r="D122" s="272">
        <f>'6.Cons Profit &amp; Loss'!C8*(1+$M$123)</f>
        <v>72959780.527200013</v>
      </c>
      <c r="E122" s="272">
        <f>'6.Cons Profit &amp; Loss'!D8*(1+$M$123)</f>
        <v>82505211.397560015</v>
      </c>
      <c r="F122" s="272">
        <f>'6.Cons Profit &amp; Loss'!E8*(1+$M$123)</f>
        <v>92822785.90363802</v>
      </c>
      <c r="G122" s="272">
        <f>'6.Cons Profit &amp; Loss'!F8*(1+$M$123)</f>
        <v>103965854.83182995</v>
      </c>
      <c r="H122" s="272">
        <f>'6.Cons Profit &amp; Loss'!G8*(1+$M$123)</f>
        <v>115991173.68808198</v>
      </c>
      <c r="I122" s="272">
        <f>'6.Cons Profit &amp; Loss'!H8*(1+$M$123)</f>
        <v>128959109.79287958</v>
      </c>
    </row>
    <row r="123" spans="2:18">
      <c r="B123" s="59" t="str">
        <f>'6.Cons Profit &amp; Loss'!A9</f>
        <v>Activity 2 - Cold Press Oil</v>
      </c>
      <c r="C123" s="272">
        <f>'6.Cons Profit &amp; Loss'!B9*(1+$M$123)</f>
        <v>0</v>
      </c>
      <c r="D123" s="272">
        <f>'6.Cons Profit &amp; Loss'!C9*(1+$M$123)</f>
        <v>0</v>
      </c>
      <c r="E123" s="272">
        <f>'6.Cons Profit &amp; Loss'!D9*(1+$M$123)</f>
        <v>0</v>
      </c>
      <c r="F123" s="272">
        <f>'6.Cons Profit &amp; Loss'!E9*(1+$M$123)</f>
        <v>0</v>
      </c>
      <c r="G123" s="272">
        <f>'6.Cons Profit &amp; Loss'!F9*(1+$M$123)</f>
        <v>0</v>
      </c>
      <c r="H123" s="272">
        <f>'6.Cons Profit &amp; Loss'!G9*(1+$M$123)</f>
        <v>0</v>
      </c>
      <c r="I123" s="272">
        <f>'6.Cons Profit &amp; Loss'!H9*(1+$M$123)</f>
        <v>0</v>
      </c>
      <c r="L123" s="5" t="s">
        <v>366</v>
      </c>
      <c r="M123" s="230">
        <v>0.05</v>
      </c>
    </row>
    <row r="124" spans="2:18">
      <c r="B124" s="59" t="str">
        <f>'6.Cons Profit &amp; Loss'!A10</f>
        <v>Activity 2 - Warehouse</v>
      </c>
      <c r="C124" s="272">
        <f>'6.Cons Profit &amp; Loss'!B10*(1+$M$123)</f>
        <v>1079568</v>
      </c>
      <c r="D124" s="272">
        <f>'6.Cons Profit &amp; Loss'!C10*(1+$M$123)</f>
        <v>1214514</v>
      </c>
      <c r="E124" s="272">
        <f>'6.Cons Profit &amp; Loss'!D10*(1+$M$123)</f>
        <v>1360255.6800000002</v>
      </c>
      <c r="F124" s="272">
        <f>'6.Cons Profit &amp; Loss'!E10*(1+$M$123)</f>
        <v>1517535.2430000005</v>
      </c>
      <c r="G124" s="272">
        <f>'6.Cons Profit &amp; Loss'!F10*(1+$M$123)</f>
        <v>1687142.1231000007</v>
      </c>
      <c r="H124" s="272">
        <f>'6.Cons Profit &amp; Loss'!G10*(1+$M$123)</f>
        <v>1869915.853102501</v>
      </c>
      <c r="I124" s="272">
        <f>'6.Cons Profit &amp; Loss'!H10*(1+$M$123)</f>
        <v>2066749.1007975014</v>
      </c>
      <c r="L124" s="5" t="s">
        <v>367</v>
      </c>
      <c r="M124" s="230">
        <v>0.05</v>
      </c>
    </row>
    <row r="125" spans="2:18">
      <c r="B125" s="59" t="str">
        <f>'6.Cons Profit &amp; Loss'!A11</f>
        <v xml:space="preserve">Faclitiy 4 - Custom Hiring </v>
      </c>
      <c r="C125" s="272">
        <f>'6.Cons Profit &amp; Loss'!B11*(1+$M$123)</f>
        <v>0</v>
      </c>
      <c r="D125" s="272">
        <f>'6.Cons Profit &amp; Loss'!C11*(1+$M$123)</f>
        <v>0</v>
      </c>
      <c r="E125" s="272">
        <f>'6.Cons Profit &amp; Loss'!D11*(1+$M$123)</f>
        <v>0</v>
      </c>
      <c r="F125" s="272">
        <f>'6.Cons Profit &amp; Loss'!E11*(1+$M$123)</f>
        <v>0</v>
      </c>
      <c r="G125" s="272">
        <f>'6.Cons Profit &amp; Loss'!F11*(1+$M$123)</f>
        <v>0</v>
      </c>
      <c r="H125" s="272">
        <f>'6.Cons Profit &amp; Loss'!G11*(1+$M$123)</f>
        <v>0</v>
      </c>
      <c r="I125" s="272">
        <f>'6.Cons Profit &amp; Loss'!H11*(1+$M$123)</f>
        <v>0</v>
      </c>
    </row>
    <row r="126" spans="2:18">
      <c r="B126" s="59" t="str">
        <f>'6.Cons Profit &amp; Loss'!A12</f>
        <v>Faclitiy 5 - Agri Input Centre</v>
      </c>
      <c r="C126" s="272">
        <f>'6.Cons Profit &amp; Loss'!B12*(1+$M$123)</f>
        <v>0</v>
      </c>
      <c r="D126" s="272">
        <f>'6.Cons Profit &amp; Loss'!C12*(1+$M$123)</f>
        <v>0</v>
      </c>
      <c r="E126" s="272">
        <f>'6.Cons Profit &amp; Loss'!D12*(1+$M$123)</f>
        <v>0</v>
      </c>
      <c r="F126" s="272">
        <f>'6.Cons Profit &amp; Loss'!E12*(1+$M$123)</f>
        <v>0</v>
      </c>
      <c r="G126" s="272">
        <f>'6.Cons Profit &amp; Loss'!F12*(1+$M$123)</f>
        <v>0</v>
      </c>
      <c r="H126" s="272">
        <f>'6.Cons Profit &amp; Loss'!G12*(1+$M$123)</f>
        <v>0</v>
      </c>
      <c r="I126" s="272">
        <f>'6.Cons Profit &amp; Loss'!H12*(1+$M$123)</f>
        <v>0</v>
      </c>
      <c r="K126" s="4"/>
    </row>
    <row r="127" spans="2:18">
      <c r="B127" s="59" t="str">
        <f>'6.Cons Profit &amp; Loss'!A13</f>
        <v>Facility 6 - Processing Unit - Horti Commodity</v>
      </c>
      <c r="C127" s="272">
        <f>'6.Cons Profit &amp; Loss'!B13*(1+$M$123)</f>
        <v>0</v>
      </c>
      <c r="D127" s="272">
        <f>'6.Cons Profit &amp; Loss'!C13*(1+$M$123)</f>
        <v>0</v>
      </c>
      <c r="E127" s="272">
        <f>'6.Cons Profit &amp; Loss'!D13*(1+$M$123)</f>
        <v>0</v>
      </c>
      <c r="F127" s="272">
        <f>'6.Cons Profit &amp; Loss'!E13*(1+$M$123)</f>
        <v>0</v>
      </c>
      <c r="G127" s="272">
        <f>'6.Cons Profit &amp; Loss'!F13*(1+$M$123)</f>
        <v>0</v>
      </c>
      <c r="H127" s="272">
        <f>'6.Cons Profit &amp; Loss'!G13*(1+$M$123)</f>
        <v>0</v>
      </c>
      <c r="I127" s="272">
        <f>'6.Cons Profit &amp; Loss'!H13*(1+$M$123)</f>
        <v>0</v>
      </c>
    </row>
    <row r="128" spans="2:18">
      <c r="B128" s="59">
        <f>'6.Cons Profit &amp; Loss'!A14</f>
        <v>0</v>
      </c>
      <c r="C128" s="272">
        <f>'6.Cons Profit &amp; Loss'!B14*(1+$M$123)</f>
        <v>0</v>
      </c>
      <c r="D128" s="272">
        <f>'6.Cons Profit &amp; Loss'!C14*(1+$M$123)</f>
        <v>0</v>
      </c>
      <c r="E128" s="272">
        <f>'6.Cons Profit &amp; Loss'!D14*(1+$M$123)</f>
        <v>0</v>
      </c>
      <c r="F128" s="272">
        <f>'6.Cons Profit &amp; Loss'!E14*(1+$M$123)</f>
        <v>0</v>
      </c>
      <c r="G128" s="272">
        <f>'6.Cons Profit &amp; Loss'!F14*(1+$M$123)</f>
        <v>0</v>
      </c>
      <c r="H128" s="272">
        <f>'6.Cons Profit &amp; Loss'!G14*(1+$M$123)</f>
        <v>0</v>
      </c>
      <c r="I128" s="272">
        <f>'6.Cons Profit &amp; Loss'!H14*(1+$M$123)</f>
        <v>0</v>
      </c>
    </row>
    <row r="129" spans="2:9">
      <c r="B129" s="59" t="s">
        <v>347</v>
      </c>
      <c r="C129" s="272">
        <f>SUM(C122:C128)</f>
        <v>64627512.767999992</v>
      </c>
      <c r="D129" s="272">
        <f t="shared" ref="D129:I129" si="14">SUM(D122:D128)</f>
        <v>74174294.527200013</v>
      </c>
      <c r="E129" s="272">
        <f t="shared" si="14"/>
        <v>83865467.077560022</v>
      </c>
      <c r="F129" s="272">
        <f t="shared" si="14"/>
        <v>94340321.146638021</v>
      </c>
      <c r="G129" s="272">
        <f t="shared" si="14"/>
        <v>105652996.95492995</v>
      </c>
      <c r="H129" s="272">
        <f t="shared" si="14"/>
        <v>117861089.54118448</v>
      </c>
      <c r="I129" s="272">
        <f t="shared" si="14"/>
        <v>131025858.89367709</v>
      </c>
    </row>
    <row r="130" spans="2:9">
      <c r="B130" s="59" t="s">
        <v>348</v>
      </c>
      <c r="C130" s="272"/>
      <c r="D130" s="272"/>
      <c r="E130" s="272"/>
      <c r="F130" s="272"/>
      <c r="G130" s="272"/>
      <c r="H130" s="272"/>
      <c r="I130" s="272"/>
    </row>
    <row r="131" spans="2:9">
      <c r="B131" s="59" t="s">
        <v>349</v>
      </c>
      <c r="C131" s="272">
        <f>'6.Cons Profit &amp; Loss'!B36</f>
        <v>710000</v>
      </c>
      <c r="D131" s="272">
        <f>'6.Cons Profit &amp; Loss'!C36</f>
        <v>745500</v>
      </c>
      <c r="E131" s="272">
        <f>'6.Cons Profit &amp; Loss'!D36</f>
        <v>782775</v>
      </c>
      <c r="F131" s="272">
        <f>'6.Cons Profit &amp; Loss'!E36</f>
        <v>821913.75000000023</v>
      </c>
      <c r="G131" s="272">
        <f>'6.Cons Profit &amp; Loss'!F36</f>
        <v>863009.43750000023</v>
      </c>
      <c r="H131" s="272">
        <f>'6.Cons Profit &amp; Loss'!G36</f>
        <v>906159.90937500028</v>
      </c>
      <c r="I131" s="272">
        <f>'6.Cons Profit &amp; Loss'!H36</f>
        <v>951467.90484375029</v>
      </c>
    </row>
    <row r="132" spans="2:9">
      <c r="B132" s="59" t="s">
        <v>307</v>
      </c>
      <c r="C132" s="272">
        <f>'6.Cons Profit &amp; Loss'!B25*(1+M123)</f>
        <v>60450898.536000006</v>
      </c>
      <c r="D132" s="272">
        <f>'6.Cons Profit &amp; Loss'!C25*(1+N123)</f>
        <v>66043190.844000004</v>
      </c>
      <c r="E132" s="272">
        <f>'6.Cons Profit &amp; Loss'!D25*(1+O123)</f>
        <v>74660678.51760003</v>
      </c>
      <c r="F132" s="272">
        <f>'6.Cons Profit &amp; Loss'!E25*(1+P123)</f>
        <v>83974806.981450021</v>
      </c>
      <c r="G132" s="272">
        <f>'6.Cons Profit &amp; Loss'!F25*(1+Q123)</f>
        <v>94033696.595391035</v>
      </c>
      <c r="H132" s="272">
        <f>'6.Cons Profit &amp; Loss'!G25*(1+R123)</f>
        <v>104888538.15327249</v>
      </c>
      <c r="I132" s="272">
        <f>'6.Cons Profit &amp; Loss'!H25*(1+S123)</f>
        <v>116593779.62545373</v>
      </c>
    </row>
    <row r="133" spans="2:9">
      <c r="B133" s="59" t="s">
        <v>350</v>
      </c>
      <c r="C133" s="272">
        <f t="shared" ref="C133:I133" si="15">SUM(C131:C132)</f>
        <v>61160898.536000006</v>
      </c>
      <c r="D133" s="272">
        <f t="shared" si="15"/>
        <v>66788690.844000004</v>
      </c>
      <c r="E133" s="272">
        <f t="shared" si="15"/>
        <v>75443453.51760003</v>
      </c>
      <c r="F133" s="272">
        <f t="shared" si="15"/>
        <v>84796720.731450021</v>
      </c>
      <c r="G133" s="272">
        <f t="shared" si="15"/>
        <v>94896706.032891035</v>
      </c>
      <c r="H133" s="272">
        <f t="shared" si="15"/>
        <v>105794698.06264749</v>
      </c>
      <c r="I133" s="272">
        <f t="shared" si="15"/>
        <v>117545247.53029747</v>
      </c>
    </row>
    <row r="134" spans="2:9">
      <c r="B134" s="61" t="s">
        <v>351</v>
      </c>
      <c r="C134" s="274">
        <f t="shared" ref="C134:I134" si="16">+C129-C133</f>
        <v>3466614.2319999859</v>
      </c>
      <c r="D134" s="274">
        <f t="shared" si="16"/>
        <v>7385603.6832000092</v>
      </c>
      <c r="E134" s="274">
        <f t="shared" si="16"/>
        <v>8422013.5599599928</v>
      </c>
      <c r="F134" s="274">
        <f t="shared" si="16"/>
        <v>9543600.4151879996</v>
      </c>
      <c r="G134" s="274">
        <f t="shared" si="16"/>
        <v>10756290.922038913</v>
      </c>
      <c r="H134" s="274">
        <f t="shared" si="16"/>
        <v>12066391.478536993</v>
      </c>
      <c r="I134" s="274">
        <f t="shared" si="16"/>
        <v>13480611.363379613</v>
      </c>
    </row>
    <row r="135" spans="2:9">
      <c r="B135" s="8"/>
      <c r="C135" s="62"/>
      <c r="D135" s="62"/>
      <c r="E135" s="62"/>
      <c r="F135" s="62"/>
      <c r="G135" s="62"/>
      <c r="H135" s="62"/>
      <c r="I135" s="62"/>
    </row>
    <row r="136" spans="2:9">
      <c r="B136" s="64" t="s">
        <v>352</v>
      </c>
      <c r="C136" s="65" t="s">
        <v>2</v>
      </c>
      <c r="D136" s="65" t="s">
        <v>3</v>
      </c>
      <c r="E136" s="65" t="s">
        <v>4</v>
      </c>
      <c r="F136" s="65" t="s">
        <v>5</v>
      </c>
      <c r="G136" s="65" t="s">
        <v>6</v>
      </c>
      <c r="H136" s="65" t="s">
        <v>169</v>
      </c>
      <c r="I136" s="65" t="s">
        <v>168</v>
      </c>
    </row>
    <row r="137" spans="2:9">
      <c r="B137" s="59" t="str">
        <f t="shared" ref="B137:B143" si="17">B122</f>
        <v>Activity 1 - Flour Mill</v>
      </c>
      <c r="C137" s="60">
        <f>'6.Cons Profit &amp; Loss'!B8</f>
        <v>60521852.159999989</v>
      </c>
      <c r="D137" s="60">
        <f>'6.Cons Profit &amp; Loss'!C8</f>
        <v>69485505.264000013</v>
      </c>
      <c r="E137" s="60">
        <f>'6.Cons Profit &amp; Loss'!D8</f>
        <v>78576391.807200015</v>
      </c>
      <c r="F137" s="60">
        <f>'6.Cons Profit &amp; Loss'!E8</f>
        <v>88402653.241560012</v>
      </c>
      <c r="G137" s="60">
        <f>'6.Cons Profit &amp; Loss'!F8</f>
        <v>99015099.839838043</v>
      </c>
      <c r="H137" s="60">
        <f>'6.Cons Profit &amp; Loss'!G8</f>
        <v>110467784.46483998</v>
      </c>
      <c r="I137" s="60">
        <f>'6.Cons Profit &amp; Loss'!H8</f>
        <v>122818199.80274245</v>
      </c>
    </row>
    <row r="138" spans="2:9">
      <c r="B138" s="59" t="str">
        <f t="shared" si="17"/>
        <v>Activity 2 - Cold Press Oil</v>
      </c>
      <c r="C138" s="60">
        <f>'6.Cons Profit &amp; Loss'!B9</f>
        <v>0</v>
      </c>
      <c r="D138" s="60">
        <f>'6.Cons Profit &amp; Loss'!C9</f>
        <v>0</v>
      </c>
      <c r="E138" s="60">
        <f>'6.Cons Profit &amp; Loss'!D9</f>
        <v>0</v>
      </c>
      <c r="F138" s="60">
        <f>'6.Cons Profit &amp; Loss'!E9</f>
        <v>0</v>
      </c>
      <c r="G138" s="60">
        <f>'6.Cons Profit &amp; Loss'!F9</f>
        <v>0</v>
      </c>
      <c r="H138" s="60">
        <f>'6.Cons Profit &amp; Loss'!G9</f>
        <v>0</v>
      </c>
      <c r="I138" s="60">
        <f>'6.Cons Profit &amp; Loss'!H9</f>
        <v>0</v>
      </c>
    </row>
    <row r="139" spans="2:9">
      <c r="B139" s="59" t="str">
        <f t="shared" si="17"/>
        <v>Activity 2 - Warehouse</v>
      </c>
      <c r="C139" s="60">
        <f>'6.Cons Profit &amp; Loss'!B10</f>
        <v>1028160</v>
      </c>
      <c r="D139" s="60">
        <f>'6.Cons Profit &amp; Loss'!C10</f>
        <v>1156680</v>
      </c>
      <c r="E139" s="60">
        <f>'6.Cons Profit &amp; Loss'!D10</f>
        <v>1295481.6000000001</v>
      </c>
      <c r="F139" s="60">
        <f>'6.Cons Profit &amp; Loss'!E10</f>
        <v>1445271.6600000004</v>
      </c>
      <c r="G139" s="60">
        <f>'6.Cons Profit &amp; Loss'!F10</f>
        <v>1606802.0220000006</v>
      </c>
      <c r="H139" s="60">
        <f>'6.Cons Profit &amp; Loss'!G10</f>
        <v>1780872.241050001</v>
      </c>
      <c r="I139" s="60">
        <f>'6.Cons Profit &amp; Loss'!H10</f>
        <v>1968332.4769500012</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347</v>
      </c>
      <c r="C144" s="60">
        <f>SUM(C137:C143)</f>
        <v>61550012.159999989</v>
      </c>
      <c r="D144" s="60">
        <f t="shared" ref="D144:I144" si="18">SUM(D137:D143)</f>
        <v>70642185.264000013</v>
      </c>
      <c r="E144" s="60">
        <f t="shared" si="18"/>
        <v>79871873.407200009</v>
      </c>
      <c r="F144" s="60">
        <f t="shared" si="18"/>
        <v>89847924.901560009</v>
      </c>
      <c r="G144" s="60">
        <f t="shared" si="18"/>
        <v>100621901.86183804</v>
      </c>
      <c r="H144" s="60">
        <f t="shared" si="18"/>
        <v>112248656.70588998</v>
      </c>
      <c r="I144" s="60">
        <f t="shared" si="18"/>
        <v>124786532.27969246</v>
      </c>
    </row>
    <row r="145" spans="2:15">
      <c r="B145" s="59" t="s">
        <v>348</v>
      </c>
      <c r="C145" s="63"/>
      <c r="D145" s="60"/>
      <c r="E145" s="60"/>
      <c r="F145" s="60"/>
      <c r="G145" s="60"/>
      <c r="H145" s="60"/>
      <c r="I145" s="60"/>
    </row>
    <row r="146" spans="2:15">
      <c r="B146" s="59" t="s">
        <v>349</v>
      </c>
      <c r="C146" s="272">
        <f>'6.Cons Profit &amp; Loss'!B36</f>
        <v>710000</v>
      </c>
      <c r="D146" s="272">
        <f>'6.Cons Profit &amp; Loss'!C36</f>
        <v>745500</v>
      </c>
      <c r="E146" s="272">
        <f>'6.Cons Profit &amp; Loss'!D36</f>
        <v>782775</v>
      </c>
      <c r="F146" s="272">
        <f>'6.Cons Profit &amp; Loss'!E36</f>
        <v>821913.75000000023</v>
      </c>
      <c r="G146" s="272">
        <f>'6.Cons Profit &amp; Loss'!F36</f>
        <v>863009.43750000023</v>
      </c>
      <c r="H146" s="272">
        <f>'6.Cons Profit &amp; Loss'!G36</f>
        <v>906159.90937500028</v>
      </c>
      <c r="I146" s="272">
        <f>'6.Cons Profit &amp; Loss'!H36</f>
        <v>951467.90484375029</v>
      </c>
    </row>
    <row r="147" spans="2:15">
      <c r="B147" s="59" t="s">
        <v>307</v>
      </c>
      <c r="C147" s="272">
        <f>'6.Cons Profit &amp; Loss'!B25*(1+$M$124)</f>
        <v>60450898.536000006</v>
      </c>
      <c r="D147" s="272">
        <f>'6.Cons Profit &amp; Loss'!C25*(1+$M$124)</f>
        <v>69345350.386200011</v>
      </c>
      <c r="E147" s="272">
        <f>'6.Cons Profit &amp; Loss'!D25*(1+$M$124)</f>
        <v>78393712.44348003</v>
      </c>
      <c r="F147" s="272">
        <f>'6.Cons Profit &amp; Loss'!E25*(1+$M$124)</f>
        <v>88173547.330522522</v>
      </c>
      <c r="G147" s="272">
        <f>'6.Cons Profit &amp; Loss'!F25*(1+$M$124)</f>
        <v>98735381.425160587</v>
      </c>
      <c r="H147" s="272">
        <f>'6.Cons Profit &amp; Loss'!G25*(1+$M$124)</f>
        <v>110132965.06093612</v>
      </c>
      <c r="I147" s="272">
        <f>'6.Cons Profit &amp; Loss'!H25*(1+$M$124)</f>
        <v>122423468.60672642</v>
      </c>
    </row>
    <row r="148" spans="2:15">
      <c r="B148" s="59" t="s">
        <v>350</v>
      </c>
      <c r="C148" s="272">
        <f t="shared" ref="C148:I148" si="19">SUM(C146:C147)</f>
        <v>61160898.536000006</v>
      </c>
      <c r="D148" s="272">
        <f t="shared" si="19"/>
        <v>70090850.386200011</v>
      </c>
      <c r="E148" s="272">
        <f t="shared" si="19"/>
        <v>79176487.44348003</v>
      </c>
      <c r="F148" s="272">
        <f t="shared" si="19"/>
        <v>88995461.080522522</v>
      </c>
      <c r="G148" s="272">
        <f t="shared" si="19"/>
        <v>99598390.862660587</v>
      </c>
      <c r="H148" s="272">
        <f t="shared" si="19"/>
        <v>111039124.97031112</v>
      </c>
      <c r="I148" s="272">
        <f t="shared" si="19"/>
        <v>123374936.51157017</v>
      </c>
    </row>
    <row r="149" spans="2:15">
      <c r="B149" s="61" t="s">
        <v>351</v>
      </c>
      <c r="C149" s="274">
        <f t="shared" ref="C149:I149" si="20">+C144-C148</f>
        <v>389113.62399998307</v>
      </c>
      <c r="D149" s="274">
        <f t="shared" si="20"/>
        <v>551334.87780000269</v>
      </c>
      <c r="E149" s="274">
        <f t="shared" si="20"/>
        <v>695385.96371997893</v>
      </c>
      <c r="F149" s="274">
        <f t="shared" si="20"/>
        <v>852463.8210374862</v>
      </c>
      <c r="G149" s="274">
        <f t="shared" si="20"/>
        <v>1023510.9991774559</v>
      </c>
      <c r="H149" s="274">
        <f t="shared" si="20"/>
        <v>1209531.7355788648</v>
      </c>
      <c r="I149" s="274">
        <f t="shared" si="20"/>
        <v>1411595.7681222856</v>
      </c>
      <c r="N149" s="4"/>
      <c r="O149" s="6"/>
    </row>
    <row r="150" spans="2:15">
      <c r="B150" s="8"/>
      <c r="C150" s="62"/>
      <c r="D150" s="62"/>
      <c r="E150" s="62"/>
      <c r="F150" s="62"/>
      <c r="G150" s="62"/>
      <c r="H150" s="62"/>
      <c r="I150" s="62"/>
    </row>
    <row r="151" spans="2:15">
      <c r="B151" s="64" t="s">
        <v>353</v>
      </c>
      <c r="C151" s="65" t="s">
        <v>2</v>
      </c>
      <c r="D151" s="65" t="s">
        <v>3</v>
      </c>
      <c r="E151" s="65" t="s">
        <v>4</v>
      </c>
      <c r="F151" s="65" t="s">
        <v>5</v>
      </c>
      <c r="G151" s="65" t="s">
        <v>6</v>
      </c>
      <c r="H151" s="65" t="s">
        <v>169</v>
      </c>
      <c r="I151" s="65" t="s">
        <v>168</v>
      </c>
    </row>
    <row r="152" spans="2:15">
      <c r="B152" s="59" t="str">
        <f t="shared" ref="B152:B158" si="21">B137</f>
        <v>Activity 1 - Flour Mill</v>
      </c>
      <c r="C152" s="272">
        <f>'6.Cons Profit &amp; Loss'!B8*(1-$M$123)</f>
        <v>57495759.551999986</v>
      </c>
      <c r="D152" s="272">
        <f>'6.Cons Profit &amp; Loss'!C8*(1-$M$123)</f>
        <v>66011230.000800006</v>
      </c>
      <c r="E152" s="272">
        <f>'6.Cons Profit &amp; Loss'!D8*(1-$M$123)</f>
        <v>74647572.216840014</v>
      </c>
      <c r="F152" s="272">
        <f>'6.Cons Profit &amp; Loss'!E8*(1-$M$123)</f>
        <v>83982520.579482004</v>
      </c>
      <c r="G152" s="272">
        <f>'6.Cons Profit &amp; Loss'!F8*(1-$M$123)</f>
        <v>94064344.847846135</v>
      </c>
      <c r="H152" s="272">
        <f>'6.Cons Profit &amp; Loss'!G8*(1-$M$123)</f>
        <v>104944395.24159798</v>
      </c>
      <c r="I152" s="272">
        <f>'6.Cons Profit &amp; Loss'!H8*(1-$M$123)</f>
        <v>116677289.81260532</v>
      </c>
    </row>
    <row r="153" spans="2:15">
      <c r="B153" s="59" t="str">
        <f t="shared" si="21"/>
        <v>Activity 2 - Cold Press Oil</v>
      </c>
      <c r="C153" s="272">
        <f>'6.Cons Profit &amp; Loss'!B9*(1-$M$123)</f>
        <v>0</v>
      </c>
      <c r="D153" s="272">
        <f>'6.Cons Profit &amp; Loss'!C9*(1-$M$123)</f>
        <v>0</v>
      </c>
      <c r="E153" s="272">
        <f>'6.Cons Profit &amp; Loss'!D9*(1-$M$123)</f>
        <v>0</v>
      </c>
      <c r="F153" s="272">
        <f>'6.Cons Profit &amp; Loss'!E9*(1-$M$123)</f>
        <v>0</v>
      </c>
      <c r="G153" s="272">
        <f>'6.Cons Profit &amp; Loss'!F9*(1-$M$123)</f>
        <v>0</v>
      </c>
      <c r="H153" s="272">
        <f>'6.Cons Profit &amp; Loss'!G9*(1-$M$123)</f>
        <v>0</v>
      </c>
      <c r="I153" s="272">
        <f>'6.Cons Profit &amp; Loss'!H9*(1-$M$123)</f>
        <v>0</v>
      </c>
    </row>
    <row r="154" spans="2:15">
      <c r="B154" s="59" t="str">
        <f t="shared" si="21"/>
        <v>Activity 2 - Warehouse</v>
      </c>
      <c r="C154" s="272">
        <f>'6.Cons Profit &amp; Loss'!B10*(1-$M$123)</f>
        <v>976752</v>
      </c>
      <c r="D154" s="272">
        <f>'6.Cons Profit &amp; Loss'!C10*(1-$M$123)</f>
        <v>1098846</v>
      </c>
      <c r="E154" s="272">
        <f>'6.Cons Profit &amp; Loss'!D10*(1-$M$123)</f>
        <v>1230707.52</v>
      </c>
      <c r="F154" s="272">
        <f>'6.Cons Profit &amp; Loss'!E10*(1-$M$123)</f>
        <v>1373008.0770000003</v>
      </c>
      <c r="G154" s="272">
        <f>'6.Cons Profit &amp; Loss'!F10*(1-$M$123)</f>
        <v>1526461.9209000005</v>
      </c>
      <c r="H154" s="272">
        <f>'6.Cons Profit &amp; Loss'!G10*(1-$M$123)</f>
        <v>1691828.628997501</v>
      </c>
      <c r="I154" s="272">
        <f>'6.Cons Profit &amp; Loss'!H10*(1-$M$123)</f>
        <v>1869915.853102501</v>
      </c>
    </row>
    <row r="155" spans="2:15">
      <c r="B155" s="59" t="str">
        <f t="shared" si="21"/>
        <v xml:space="preserve">Faclitiy 4 - Custom Hiring </v>
      </c>
      <c r="C155" s="272">
        <f>'6.Cons Profit &amp; Loss'!B11*(1-$M$123)</f>
        <v>0</v>
      </c>
      <c r="D155" s="272">
        <f>'6.Cons Profit &amp; Loss'!C11*(1-$M$123)</f>
        <v>0</v>
      </c>
      <c r="E155" s="272">
        <f>'6.Cons Profit &amp; Loss'!D11*(1-$M$123)</f>
        <v>0</v>
      </c>
      <c r="F155" s="272">
        <f>'6.Cons Profit &amp; Loss'!E11*(1-$M$123)</f>
        <v>0</v>
      </c>
      <c r="G155" s="272">
        <f>'6.Cons Profit &amp; Loss'!F11*(1-$M$123)</f>
        <v>0</v>
      </c>
      <c r="H155" s="272">
        <f>'6.Cons Profit &amp; Loss'!G11*(1-$M$123)</f>
        <v>0</v>
      </c>
      <c r="I155" s="272">
        <f>'6.Cons Profit &amp; Loss'!H11*(1-$M$123)</f>
        <v>0</v>
      </c>
    </row>
    <row r="156" spans="2:15">
      <c r="B156" s="59" t="str">
        <f t="shared" si="21"/>
        <v>Faclitiy 5 - Agri Input Centre</v>
      </c>
      <c r="C156" s="272">
        <f>'6.Cons Profit &amp; Loss'!B12*(1-$M$123)</f>
        <v>0</v>
      </c>
      <c r="D156" s="272">
        <f>'6.Cons Profit &amp; Loss'!C12*(1-$M$123)</f>
        <v>0</v>
      </c>
      <c r="E156" s="272">
        <f>'6.Cons Profit &amp; Loss'!D12*(1-$M$123)</f>
        <v>0</v>
      </c>
      <c r="F156" s="272">
        <f>'6.Cons Profit &amp; Loss'!E12*(1-$M$123)</f>
        <v>0</v>
      </c>
      <c r="G156" s="272">
        <f>'6.Cons Profit &amp; Loss'!F12*(1-$M$123)</f>
        <v>0</v>
      </c>
      <c r="H156" s="272">
        <f>'6.Cons Profit &amp; Loss'!G12*(1-$M$123)</f>
        <v>0</v>
      </c>
      <c r="I156" s="272">
        <f>'6.Cons Profit &amp; Loss'!H12*(1-$M$123)</f>
        <v>0</v>
      </c>
    </row>
    <row r="157" spans="2:15">
      <c r="B157" s="59" t="str">
        <f t="shared" si="21"/>
        <v>Facility 6 - Processing Unit - Horti Commodity</v>
      </c>
      <c r="C157" s="272">
        <f>'6.Cons Profit &amp; Loss'!B13*(1-$M$123)</f>
        <v>0</v>
      </c>
      <c r="D157" s="272">
        <f>'6.Cons Profit &amp; Loss'!C13*(1-$M$123)</f>
        <v>0</v>
      </c>
      <c r="E157" s="272">
        <f>'6.Cons Profit &amp; Loss'!D13*(1-$M$123)</f>
        <v>0</v>
      </c>
      <c r="F157" s="272">
        <f>'6.Cons Profit &amp; Loss'!E13*(1-$M$123)</f>
        <v>0</v>
      </c>
      <c r="G157" s="272">
        <f>'6.Cons Profit &amp; Loss'!F13*(1-$M$123)</f>
        <v>0</v>
      </c>
      <c r="H157" s="272">
        <f>'6.Cons Profit &amp; Loss'!G13*(1-$M$123)</f>
        <v>0</v>
      </c>
      <c r="I157" s="272">
        <f>'6.Cons Profit &amp; Loss'!H13*(1-$M$123)</f>
        <v>0</v>
      </c>
    </row>
    <row r="158" spans="2:15">
      <c r="B158" s="59">
        <f t="shared" si="21"/>
        <v>0</v>
      </c>
      <c r="C158" s="272">
        <f>'6.Cons Profit &amp; Loss'!B14*(1-$M$123)</f>
        <v>0</v>
      </c>
      <c r="D158" s="272">
        <f>'6.Cons Profit &amp; Loss'!C14*(1-$M$123)</f>
        <v>0</v>
      </c>
      <c r="E158" s="272">
        <f>'6.Cons Profit &amp; Loss'!D14*(1-$M$123)</f>
        <v>0</v>
      </c>
      <c r="F158" s="272">
        <f>'6.Cons Profit &amp; Loss'!E14*(1-$M$123)</f>
        <v>0</v>
      </c>
      <c r="G158" s="272">
        <f>'6.Cons Profit &amp; Loss'!F14*(1-$M$123)</f>
        <v>0</v>
      </c>
      <c r="H158" s="272">
        <f>'6.Cons Profit &amp; Loss'!G14*(1-$M$123)</f>
        <v>0</v>
      </c>
      <c r="I158" s="272">
        <f>'6.Cons Profit &amp; Loss'!H14*(1-$M$123)</f>
        <v>0</v>
      </c>
    </row>
    <row r="159" spans="2:15">
      <c r="B159" s="59" t="s">
        <v>347</v>
      </c>
      <c r="C159" s="272">
        <f>SUM(C152:C158)</f>
        <v>58472511.551999986</v>
      </c>
      <c r="D159" s="272">
        <f t="shared" ref="D159:I159" si="22">SUM(D152:D158)</f>
        <v>67110076.000800014</v>
      </c>
      <c r="E159" s="272">
        <f t="shared" si="22"/>
        <v>75878279.73684001</v>
      </c>
      <c r="F159" s="272">
        <f t="shared" si="22"/>
        <v>85355528.656482011</v>
      </c>
      <c r="G159" s="272">
        <f t="shared" si="22"/>
        <v>95590806.768746138</v>
      </c>
      <c r="H159" s="272">
        <f t="shared" si="22"/>
        <v>106636223.87059548</v>
      </c>
      <c r="I159" s="272">
        <f t="shared" si="22"/>
        <v>118547205.66570783</v>
      </c>
    </row>
    <row r="160" spans="2:15">
      <c r="B160" s="59" t="s">
        <v>348</v>
      </c>
      <c r="C160" s="272"/>
      <c r="D160" s="272"/>
      <c r="E160" s="272"/>
      <c r="F160" s="272"/>
      <c r="G160" s="272"/>
      <c r="H160" s="272"/>
      <c r="I160" s="272"/>
    </row>
    <row r="161" spans="2:9">
      <c r="B161" s="59" t="s">
        <v>349</v>
      </c>
      <c r="C161" s="272">
        <f>'6.Cons Profit &amp; Loss'!B36</f>
        <v>710000</v>
      </c>
      <c r="D161" s="272">
        <f>'6.Cons Profit &amp; Loss'!C36</f>
        <v>745500</v>
      </c>
      <c r="E161" s="272">
        <f>'6.Cons Profit &amp; Loss'!D36</f>
        <v>782775</v>
      </c>
      <c r="F161" s="272">
        <f>'6.Cons Profit &amp; Loss'!E36</f>
        <v>821913.75000000023</v>
      </c>
      <c r="G161" s="272">
        <f>'6.Cons Profit &amp; Loss'!F36</f>
        <v>863009.43750000023</v>
      </c>
      <c r="H161" s="272">
        <f>'6.Cons Profit &amp; Loss'!G36</f>
        <v>906159.90937500028</v>
      </c>
      <c r="I161" s="272">
        <f>'6.Cons Profit &amp; Loss'!H36</f>
        <v>951467.90484375029</v>
      </c>
    </row>
    <row r="162" spans="2:9">
      <c r="B162" s="59" t="s">
        <v>307</v>
      </c>
      <c r="C162" s="272">
        <f>'6.Cons Profit &amp; Loss'!B25*(1-$M$123)</f>
        <v>54693670.103999995</v>
      </c>
      <c r="D162" s="272">
        <f>'6.Cons Profit &amp; Loss'!C25*(1-$M$123)</f>
        <v>62741031.301799998</v>
      </c>
      <c r="E162" s="272">
        <f>'6.Cons Profit &amp; Loss'!D25*(1-$M$123)</f>
        <v>70927644.59172003</v>
      </c>
      <c r="F162" s="272">
        <f>'6.Cons Profit &amp; Loss'!E25*(1-$M$123)</f>
        <v>79776066.63237752</v>
      </c>
      <c r="G162" s="272">
        <f>'6.Cons Profit &amp; Loss'!F25*(1-$M$123)</f>
        <v>89332011.765621483</v>
      </c>
      <c r="H162" s="272">
        <f>'6.Cons Profit &amp; Loss'!G25*(1-$M$123)</f>
        <v>99644111.245608866</v>
      </c>
      <c r="I162" s="272">
        <f>'6.Cons Profit &amp; Loss'!H25*(1-$M$123)</f>
        <v>110764090.64418103</v>
      </c>
    </row>
    <row r="163" spans="2:9">
      <c r="B163" s="59" t="s">
        <v>350</v>
      </c>
      <c r="C163" s="272">
        <f t="shared" ref="C163:I163" si="23">SUM(C161:C162)</f>
        <v>55403670.103999995</v>
      </c>
      <c r="D163" s="272">
        <f t="shared" si="23"/>
        <v>63486531.301799998</v>
      </c>
      <c r="E163" s="272">
        <f t="shared" si="23"/>
        <v>71710419.59172003</v>
      </c>
      <c r="F163" s="272">
        <f t="shared" si="23"/>
        <v>80597980.38237752</v>
      </c>
      <c r="G163" s="272">
        <f t="shared" si="23"/>
        <v>90195021.203121483</v>
      </c>
      <c r="H163" s="272">
        <f t="shared" si="23"/>
        <v>100550271.15498386</v>
      </c>
      <c r="I163" s="272">
        <f t="shared" si="23"/>
        <v>111715558.54902478</v>
      </c>
    </row>
    <row r="164" spans="2:9">
      <c r="B164" s="61" t="s">
        <v>351</v>
      </c>
      <c r="C164" s="274">
        <f t="shared" ref="C164:I164" si="24">+C159-C163</f>
        <v>3068841.4479999915</v>
      </c>
      <c r="D164" s="274">
        <f t="shared" si="24"/>
        <v>3623544.6990000159</v>
      </c>
      <c r="E164" s="274">
        <f t="shared" si="24"/>
        <v>4167860.14511998</v>
      </c>
      <c r="F164" s="274">
        <f t="shared" si="24"/>
        <v>4757548.2741044909</v>
      </c>
      <c r="G164" s="274">
        <f t="shared" si="24"/>
        <v>5395785.5656246543</v>
      </c>
      <c r="H164" s="274">
        <f t="shared" si="24"/>
        <v>6085952.7156116217</v>
      </c>
      <c r="I164" s="274">
        <f t="shared" si="24"/>
        <v>6831647.116683051</v>
      </c>
    </row>
    <row r="165" spans="2:9">
      <c r="C165" s="62"/>
      <c r="D165" s="62"/>
      <c r="E165" s="62"/>
      <c r="F165" s="62"/>
      <c r="G165" s="62"/>
      <c r="H165" s="62"/>
      <c r="I165" s="62"/>
    </row>
    <row r="166" spans="2:9">
      <c r="B166" s="64" t="s">
        <v>354</v>
      </c>
      <c r="C166" s="65" t="s">
        <v>2</v>
      </c>
      <c r="D166" s="65" t="s">
        <v>3</v>
      </c>
      <c r="E166" s="65" t="s">
        <v>4</v>
      </c>
      <c r="F166" s="65" t="s">
        <v>5</v>
      </c>
      <c r="G166" s="65" t="s">
        <v>6</v>
      </c>
      <c r="H166" s="65" t="s">
        <v>169</v>
      </c>
      <c r="I166" s="65" t="s">
        <v>168</v>
      </c>
    </row>
    <row r="167" spans="2:9">
      <c r="B167" s="59" t="str">
        <f t="shared" ref="B167:B173" si="25">B152</f>
        <v>Activity 1 - Flour Mill</v>
      </c>
      <c r="C167" s="60">
        <f>'6.Cons Profit &amp; Loss'!B8</f>
        <v>60521852.159999989</v>
      </c>
      <c r="D167" s="60">
        <f>'6.Cons Profit &amp; Loss'!C8</f>
        <v>69485505.264000013</v>
      </c>
      <c r="E167" s="60">
        <f>'6.Cons Profit &amp; Loss'!D8</f>
        <v>78576391.807200015</v>
      </c>
      <c r="F167" s="60">
        <f>'6.Cons Profit &amp; Loss'!E8</f>
        <v>88402653.241560012</v>
      </c>
      <c r="G167" s="60">
        <f>'6.Cons Profit &amp; Loss'!F8</f>
        <v>99015099.839838043</v>
      </c>
      <c r="H167" s="60">
        <f>'6.Cons Profit &amp; Loss'!G8</f>
        <v>110467784.46483998</v>
      </c>
      <c r="I167" s="60">
        <f>'6.Cons Profit &amp; Loss'!H8</f>
        <v>122818199.80274245</v>
      </c>
    </row>
    <row r="168" spans="2:9">
      <c r="B168" s="59" t="str">
        <f t="shared" si="25"/>
        <v>Activity 2 - Cold Press Oil</v>
      </c>
      <c r="C168" s="60">
        <f>'6.Cons Profit &amp; Loss'!B9</f>
        <v>0</v>
      </c>
      <c r="D168" s="60">
        <f>'6.Cons Profit &amp; Loss'!C9</f>
        <v>0</v>
      </c>
      <c r="E168" s="60">
        <f>'6.Cons Profit &amp; Loss'!D9</f>
        <v>0</v>
      </c>
      <c r="F168" s="60">
        <f>'6.Cons Profit &amp; Loss'!E9</f>
        <v>0</v>
      </c>
      <c r="G168" s="60">
        <f>'6.Cons Profit &amp; Loss'!F9</f>
        <v>0</v>
      </c>
      <c r="H168" s="60">
        <f>'6.Cons Profit &amp; Loss'!G9</f>
        <v>0</v>
      </c>
      <c r="I168" s="60">
        <f>'6.Cons Profit &amp; Loss'!H9</f>
        <v>0</v>
      </c>
    </row>
    <row r="169" spans="2:9">
      <c r="B169" s="59" t="str">
        <f t="shared" si="25"/>
        <v>Activity 2 - Warehouse</v>
      </c>
      <c r="C169" s="60">
        <f>'6.Cons Profit &amp; Loss'!B10</f>
        <v>1028160</v>
      </c>
      <c r="D169" s="60">
        <f>'6.Cons Profit &amp; Loss'!C10</f>
        <v>1156680</v>
      </c>
      <c r="E169" s="60">
        <f>'6.Cons Profit &amp; Loss'!D10</f>
        <v>1295481.6000000001</v>
      </c>
      <c r="F169" s="60">
        <f>'6.Cons Profit &amp; Loss'!E10</f>
        <v>1445271.6600000004</v>
      </c>
      <c r="G169" s="60">
        <f>'6.Cons Profit &amp; Loss'!F10</f>
        <v>1606802.0220000006</v>
      </c>
      <c r="H169" s="60">
        <f>'6.Cons Profit &amp; Loss'!G10</f>
        <v>1780872.241050001</v>
      </c>
      <c r="I169" s="60">
        <f>'6.Cons Profit &amp; Loss'!H10</f>
        <v>1968332.4769500012</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347</v>
      </c>
      <c r="C174" s="60">
        <f>SUM(C167:C173)</f>
        <v>61550012.159999989</v>
      </c>
      <c r="D174" s="60">
        <f t="shared" ref="D174:I174" si="26">SUM(D167:D173)</f>
        <v>70642185.264000013</v>
      </c>
      <c r="E174" s="60">
        <f t="shared" si="26"/>
        <v>79871873.407200009</v>
      </c>
      <c r="F174" s="60">
        <f t="shared" si="26"/>
        <v>89847924.901560009</v>
      </c>
      <c r="G174" s="60">
        <f t="shared" si="26"/>
        <v>100621901.86183804</v>
      </c>
      <c r="H174" s="60">
        <f t="shared" si="26"/>
        <v>112248656.70588998</v>
      </c>
      <c r="I174" s="60">
        <f t="shared" si="26"/>
        <v>124786532.27969246</v>
      </c>
    </row>
    <row r="175" spans="2:9">
      <c r="B175" s="59" t="s">
        <v>348</v>
      </c>
      <c r="C175" s="60"/>
      <c r="D175" s="60"/>
      <c r="E175" s="60"/>
      <c r="F175" s="60"/>
      <c r="G175" s="60"/>
      <c r="H175" s="60"/>
      <c r="I175" s="60"/>
    </row>
    <row r="176" spans="2:9">
      <c r="B176" s="59" t="s">
        <v>349</v>
      </c>
      <c r="C176" s="60">
        <f>'6.Cons Profit &amp; Loss'!B36</f>
        <v>710000</v>
      </c>
      <c r="D176" s="60">
        <f>'6.Cons Profit &amp; Loss'!C36</f>
        <v>745500</v>
      </c>
      <c r="E176" s="60">
        <f>'6.Cons Profit &amp; Loss'!D36</f>
        <v>782775</v>
      </c>
      <c r="F176" s="60">
        <f>'6.Cons Profit &amp; Loss'!E36</f>
        <v>821913.75000000023</v>
      </c>
      <c r="G176" s="60">
        <f>'6.Cons Profit &amp; Loss'!F36</f>
        <v>863009.43750000023</v>
      </c>
      <c r="H176" s="60">
        <f>'6.Cons Profit &amp; Loss'!G36</f>
        <v>906159.90937500028</v>
      </c>
      <c r="I176" s="60">
        <f>'6.Cons Profit &amp; Loss'!H36</f>
        <v>951467.90484375029</v>
      </c>
    </row>
    <row r="177" spans="2:13">
      <c r="B177" s="59" t="s">
        <v>307</v>
      </c>
      <c r="C177" s="60">
        <f>'6.Cons Profit &amp; Loss'!B25*(1-$M$124)</f>
        <v>54693670.103999995</v>
      </c>
      <c r="D177" s="60">
        <f>'6.Cons Profit &amp; Loss'!C25*(1-$M$124)</f>
        <v>62741031.301799998</v>
      </c>
      <c r="E177" s="60">
        <f>'6.Cons Profit &amp; Loss'!D25*(1-$M$124)</f>
        <v>70927644.59172003</v>
      </c>
      <c r="F177" s="60">
        <f>'6.Cons Profit &amp; Loss'!E25*(1-$M$124)</f>
        <v>79776066.63237752</v>
      </c>
      <c r="G177" s="60">
        <f>'6.Cons Profit &amp; Loss'!F25*(1-$M$124)</f>
        <v>89332011.765621483</v>
      </c>
      <c r="H177" s="60">
        <f>'6.Cons Profit &amp; Loss'!G25*(1-$M$124)</f>
        <v>99644111.245608866</v>
      </c>
      <c r="I177" s="60">
        <f>'6.Cons Profit &amp; Loss'!H25*(1-$M$124)</f>
        <v>110764090.64418103</v>
      </c>
    </row>
    <row r="178" spans="2:13">
      <c r="B178" s="59" t="s">
        <v>350</v>
      </c>
      <c r="C178" s="60">
        <f t="shared" ref="C178:I178" si="27">SUM(C176:C177)</f>
        <v>55403670.103999995</v>
      </c>
      <c r="D178" s="60">
        <f t="shared" si="27"/>
        <v>63486531.301799998</v>
      </c>
      <c r="E178" s="60">
        <f t="shared" si="27"/>
        <v>71710419.59172003</v>
      </c>
      <c r="F178" s="60">
        <f t="shared" si="27"/>
        <v>80597980.38237752</v>
      </c>
      <c r="G178" s="60">
        <f t="shared" si="27"/>
        <v>90195021.203121483</v>
      </c>
      <c r="H178" s="60">
        <f t="shared" si="27"/>
        <v>100550271.15498386</v>
      </c>
      <c r="I178" s="60">
        <f t="shared" si="27"/>
        <v>111715558.54902478</v>
      </c>
    </row>
    <row r="179" spans="2:13">
      <c r="B179" s="61" t="s">
        <v>351</v>
      </c>
      <c r="C179" s="273">
        <f t="shared" ref="C179:I179" si="28">+C174-C178</f>
        <v>6146342.0559999943</v>
      </c>
      <c r="D179" s="273">
        <f t="shared" si="28"/>
        <v>7155653.9622000158</v>
      </c>
      <c r="E179" s="273">
        <f t="shared" si="28"/>
        <v>8161453.8154799789</v>
      </c>
      <c r="F179" s="273">
        <f t="shared" si="28"/>
        <v>9249944.5191824883</v>
      </c>
      <c r="G179" s="273">
        <f t="shared" si="28"/>
        <v>10426880.658716559</v>
      </c>
      <c r="H179" s="273">
        <f t="shared" si="28"/>
        <v>11698385.550906122</v>
      </c>
      <c r="I179" s="273">
        <f t="shared" si="28"/>
        <v>13070973.730667681</v>
      </c>
    </row>
    <row r="181" spans="2:13" ht="41.15" customHeight="1">
      <c r="B181" s="452" t="s">
        <v>538</v>
      </c>
      <c r="C181" s="452"/>
      <c r="D181" s="452"/>
      <c r="E181" s="452"/>
      <c r="F181" s="452"/>
      <c r="G181" s="452"/>
      <c r="H181" s="452"/>
      <c r="I181" s="452"/>
      <c r="J181" s="280"/>
      <c r="K181" s="280"/>
      <c r="L181" s="280"/>
      <c r="M181" s="280"/>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activeCell="C18" sqref="C18"/>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1" t="s">
        <v>499</v>
      </c>
      <c r="B1" s="411"/>
      <c r="C1" s="411"/>
      <c r="D1" s="411"/>
      <c r="E1" s="411"/>
      <c r="F1" s="411"/>
      <c r="G1" s="411"/>
      <c r="H1" s="411"/>
    </row>
    <row r="2" spans="1:26">
      <c r="B2" s="4"/>
    </row>
    <row r="3" spans="1:26" ht="17.5">
      <c r="A3" s="461" t="s">
        <v>566</v>
      </c>
      <c r="B3" s="461"/>
    </row>
    <row r="4" spans="1:26">
      <c r="A4" s="242" t="s">
        <v>0</v>
      </c>
      <c r="B4" s="253" t="s">
        <v>380</v>
      </c>
      <c r="C4" s="254"/>
      <c r="D4" s="254"/>
      <c r="E4" s="254"/>
      <c r="F4" s="254"/>
      <c r="G4" s="254"/>
      <c r="H4" s="254"/>
    </row>
    <row r="5" spans="1:26">
      <c r="A5" s="9" t="s">
        <v>491</v>
      </c>
      <c r="B5" s="238"/>
      <c r="D5" s="255"/>
      <c r="E5" s="255"/>
      <c r="F5" s="255"/>
      <c r="G5" s="255"/>
      <c r="H5" s="255"/>
    </row>
    <row r="6" spans="1:26">
      <c r="A6" s="9" t="s">
        <v>492</v>
      </c>
      <c r="B6" s="238"/>
      <c r="D6" s="255"/>
      <c r="E6" s="255"/>
      <c r="F6" s="255"/>
      <c r="G6" s="255"/>
      <c r="H6" s="255"/>
    </row>
    <row r="7" spans="1:26">
      <c r="A7" s="2" t="s">
        <v>1</v>
      </c>
      <c r="B7" s="2">
        <f>B5+B6</f>
        <v>0</v>
      </c>
      <c r="C7" s="5"/>
      <c r="D7" s="256"/>
      <c r="E7" s="256"/>
      <c r="F7" s="256"/>
      <c r="G7" s="256"/>
      <c r="H7" s="256"/>
    </row>
    <row r="8" spans="1:26">
      <c r="A8" s="2" t="s">
        <v>493</v>
      </c>
      <c r="B8" s="270">
        <v>2</v>
      </c>
      <c r="C8" s="5"/>
      <c r="D8" s="5"/>
      <c r="E8" s="5"/>
      <c r="F8" s="5"/>
      <c r="G8" s="5"/>
      <c r="H8" s="5"/>
    </row>
    <row r="9" spans="1:26">
      <c r="A9" s="2" t="s">
        <v>498</v>
      </c>
      <c r="B9" s="2">
        <f>B7*B8</f>
        <v>0</v>
      </c>
      <c r="C9" s="256"/>
      <c r="D9" s="256"/>
      <c r="E9" s="256"/>
      <c r="F9" s="256"/>
      <c r="G9" s="256"/>
      <c r="H9" s="256"/>
    </row>
    <row r="10" spans="1:26">
      <c r="J10" t="s">
        <v>448</v>
      </c>
      <c r="O10" t="s">
        <v>444</v>
      </c>
      <c r="U10" t="s">
        <v>445</v>
      </c>
      <c r="Y10" t="s">
        <v>446</v>
      </c>
      <c r="Z10" t="s">
        <v>447</v>
      </c>
    </row>
    <row r="11" spans="1:26" ht="17.5">
      <c r="A11" s="411" t="s">
        <v>567</v>
      </c>
      <c r="B11" s="411"/>
      <c r="C11" s="411"/>
      <c r="D11" s="411"/>
      <c r="E11" s="411"/>
      <c r="F11" s="411"/>
      <c r="G11" s="411"/>
      <c r="H11" s="411"/>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42" t="s">
        <v>384</v>
      </c>
      <c r="B13" s="242" t="s">
        <v>385</v>
      </c>
      <c r="C13" s="243" t="s">
        <v>440</v>
      </c>
      <c r="D13" s="243" t="s">
        <v>449</v>
      </c>
      <c r="E13" s="243" t="s">
        <v>450</v>
      </c>
      <c r="F13" s="243" t="s">
        <v>386</v>
      </c>
      <c r="G13" s="243" t="s">
        <v>441</v>
      </c>
      <c r="H13" s="243" t="s">
        <v>387</v>
      </c>
      <c r="O13" s="250" t="s">
        <v>2</v>
      </c>
      <c r="P13" s="250" t="s">
        <v>3</v>
      </c>
      <c r="Q13" s="250" t="s">
        <v>4</v>
      </c>
      <c r="R13" s="250" t="s">
        <v>5</v>
      </c>
      <c r="S13" s="250" t="s">
        <v>6</v>
      </c>
      <c r="T13" s="250" t="s">
        <v>2</v>
      </c>
      <c r="U13" s="250" t="s">
        <v>3</v>
      </c>
      <c r="V13" s="250" t="s">
        <v>4</v>
      </c>
      <c r="W13" s="250" t="s">
        <v>5</v>
      </c>
      <c r="X13" s="250" t="s">
        <v>6</v>
      </c>
    </row>
    <row r="14" spans="1:26">
      <c r="A14" s="465" t="s">
        <v>388</v>
      </c>
      <c r="B14" s="238" t="s">
        <v>167</v>
      </c>
      <c r="C14" s="248">
        <v>0.4</v>
      </c>
      <c r="D14" s="9">
        <f t="shared" ref="D14:D22" si="3">$B$9*C14</f>
        <v>0</v>
      </c>
      <c r="E14" s="239">
        <v>15</v>
      </c>
      <c r="F14" s="9">
        <f>D14*E14</f>
        <v>0</v>
      </c>
      <c r="G14" s="249">
        <v>0.1</v>
      </c>
      <c r="H14" s="9">
        <f>(F14-F14*G14)</f>
        <v>0</v>
      </c>
      <c r="J14">
        <f>$D$14*J12</f>
        <v>0</v>
      </c>
      <c r="K14">
        <f>$D$14*K12</f>
        <v>0</v>
      </c>
      <c r="L14">
        <f>$D$14*L12</f>
        <v>0</v>
      </c>
      <c r="M14">
        <f>$D$14*M12</f>
        <v>0</v>
      </c>
      <c r="N14">
        <f>$D$14*N12</f>
        <v>0</v>
      </c>
    </row>
    <row r="15" spans="1:26">
      <c r="A15" s="466"/>
      <c r="B15" s="238" t="s">
        <v>471</v>
      </c>
      <c r="C15" s="248">
        <v>0.25</v>
      </c>
      <c r="D15" s="9">
        <f t="shared" si="3"/>
        <v>0</v>
      </c>
      <c r="E15" s="239">
        <v>7</v>
      </c>
      <c r="F15" s="9">
        <f t="shared" ref="F15:F36" si="4">D15*E15</f>
        <v>0</v>
      </c>
      <c r="G15" s="249">
        <v>0.05</v>
      </c>
      <c r="H15" s="9">
        <f>(F15-F15*G15)</f>
        <v>0</v>
      </c>
    </row>
    <row r="16" spans="1:26">
      <c r="A16" s="466"/>
      <c r="B16" s="238" t="s">
        <v>470</v>
      </c>
      <c r="C16" s="248">
        <v>0</v>
      </c>
      <c r="D16" s="9">
        <f t="shared" si="3"/>
        <v>0</v>
      </c>
      <c r="E16" s="239">
        <v>4</v>
      </c>
      <c r="F16" s="9">
        <f t="shared" si="4"/>
        <v>0</v>
      </c>
      <c r="G16" s="249">
        <v>0</v>
      </c>
      <c r="H16" s="9">
        <f t="shared" ref="H16:H36" si="5">(F16-F16*G16)</f>
        <v>0</v>
      </c>
    </row>
    <row r="17" spans="1:8">
      <c r="A17" s="466"/>
      <c r="B17" s="238" t="s">
        <v>468</v>
      </c>
      <c r="C17" s="248">
        <v>0.1</v>
      </c>
      <c r="D17" s="9">
        <f t="shared" si="3"/>
        <v>0</v>
      </c>
      <c r="E17" s="239">
        <v>7</v>
      </c>
      <c r="F17" s="9">
        <f t="shared" si="4"/>
        <v>0</v>
      </c>
      <c r="G17" s="249">
        <v>0.02</v>
      </c>
      <c r="H17" s="9">
        <f t="shared" si="5"/>
        <v>0</v>
      </c>
    </row>
    <row r="18" spans="1:8">
      <c r="A18" s="466"/>
      <c r="B18" s="238" t="s">
        <v>389</v>
      </c>
      <c r="C18" s="248">
        <v>0</v>
      </c>
      <c r="D18" s="9">
        <f t="shared" si="3"/>
        <v>0</v>
      </c>
      <c r="E18" s="239">
        <v>20</v>
      </c>
      <c r="F18" s="9">
        <f t="shared" si="4"/>
        <v>0</v>
      </c>
      <c r="G18" s="249">
        <v>0</v>
      </c>
      <c r="H18" s="9">
        <f t="shared" si="5"/>
        <v>0</v>
      </c>
    </row>
    <row r="19" spans="1:8">
      <c r="A19" s="466"/>
      <c r="B19" s="238" t="s">
        <v>469</v>
      </c>
      <c r="C19" s="248">
        <v>0.1</v>
      </c>
      <c r="D19" s="9">
        <f t="shared" si="3"/>
        <v>0</v>
      </c>
      <c r="E19" s="239">
        <v>7</v>
      </c>
      <c r="F19" s="9">
        <f t="shared" si="4"/>
        <v>0</v>
      </c>
      <c r="G19" s="249">
        <v>0.1</v>
      </c>
      <c r="H19" s="9">
        <f t="shared" si="5"/>
        <v>0</v>
      </c>
    </row>
    <row r="20" spans="1:8">
      <c r="A20" s="466"/>
      <c r="B20" s="238" t="s">
        <v>462</v>
      </c>
      <c r="C20" s="248">
        <v>0</v>
      </c>
      <c r="D20" s="9">
        <f t="shared" si="3"/>
        <v>0</v>
      </c>
      <c r="E20" s="239">
        <v>6</v>
      </c>
      <c r="F20" s="9">
        <f t="shared" si="4"/>
        <v>0</v>
      </c>
      <c r="G20" s="249">
        <v>0.02</v>
      </c>
      <c r="H20" s="9">
        <f t="shared" si="5"/>
        <v>0</v>
      </c>
    </row>
    <row r="21" spans="1:8">
      <c r="A21" s="466"/>
      <c r="B21" s="238" t="s">
        <v>393</v>
      </c>
      <c r="C21" s="248">
        <v>0</v>
      </c>
      <c r="D21" s="9">
        <f t="shared" si="3"/>
        <v>0</v>
      </c>
      <c r="E21" s="239"/>
      <c r="F21" s="9">
        <f t="shared" si="4"/>
        <v>0</v>
      </c>
      <c r="G21" s="249">
        <v>0</v>
      </c>
      <c r="H21" s="9">
        <f t="shared" si="5"/>
        <v>0</v>
      </c>
    </row>
    <row r="22" spans="1:8">
      <c r="A22" s="467"/>
      <c r="B22" s="238" t="s">
        <v>472</v>
      </c>
      <c r="C22" s="248">
        <v>0</v>
      </c>
      <c r="D22" s="9">
        <f t="shared" si="3"/>
        <v>0</v>
      </c>
      <c r="E22" s="239"/>
      <c r="F22" s="9">
        <f t="shared" si="4"/>
        <v>0</v>
      </c>
      <c r="G22" s="249">
        <v>0</v>
      </c>
      <c r="H22" s="9">
        <f t="shared" si="5"/>
        <v>0</v>
      </c>
    </row>
    <row r="23" spans="1:8">
      <c r="A23" s="258" t="s">
        <v>476</v>
      </c>
      <c r="B23" s="263">
        <v>0.3</v>
      </c>
      <c r="C23" s="265">
        <f>B9*B23</f>
        <v>0</v>
      </c>
      <c r="D23" s="9"/>
      <c r="E23" s="239"/>
      <c r="F23" s="9"/>
      <c r="G23" s="249"/>
      <c r="H23" s="9"/>
    </row>
    <row r="24" spans="1:8">
      <c r="A24" s="465" t="s">
        <v>390</v>
      </c>
      <c r="B24" s="238" t="s">
        <v>391</v>
      </c>
      <c r="C24" s="248">
        <v>0</v>
      </c>
      <c r="D24" s="9">
        <f>C$23*C24</f>
        <v>0</v>
      </c>
      <c r="E24" s="239">
        <v>10</v>
      </c>
      <c r="F24" s="9">
        <f t="shared" si="4"/>
        <v>0</v>
      </c>
      <c r="G24" s="249">
        <v>0.1</v>
      </c>
      <c r="H24" s="9">
        <f t="shared" si="5"/>
        <v>0</v>
      </c>
    </row>
    <row r="25" spans="1:8">
      <c r="A25" s="466"/>
      <c r="B25" s="238" t="s">
        <v>392</v>
      </c>
      <c r="C25" s="248">
        <v>0.4</v>
      </c>
      <c r="D25" s="9">
        <f>C$23*C25</f>
        <v>0</v>
      </c>
      <c r="E25" s="239">
        <v>10</v>
      </c>
      <c r="F25" s="9">
        <f t="shared" si="4"/>
        <v>0</v>
      </c>
      <c r="G25" s="249">
        <v>0.1</v>
      </c>
      <c r="H25" s="9">
        <f t="shared" si="5"/>
        <v>0</v>
      </c>
    </row>
    <row r="26" spans="1:8">
      <c r="A26" s="466"/>
      <c r="B26" s="238" t="s">
        <v>393</v>
      </c>
      <c r="C26" s="248">
        <v>0</v>
      </c>
      <c r="D26" s="9">
        <f>C$23*C26</f>
        <v>0</v>
      </c>
      <c r="E26" s="239">
        <v>10</v>
      </c>
      <c r="F26" s="9">
        <f t="shared" si="4"/>
        <v>0</v>
      </c>
      <c r="G26" s="249">
        <v>0.05</v>
      </c>
      <c r="H26" s="9">
        <f t="shared" si="5"/>
        <v>0</v>
      </c>
    </row>
    <row r="27" spans="1:8">
      <c r="A27" s="466"/>
      <c r="B27" s="238" t="s">
        <v>389</v>
      </c>
      <c r="C27" s="248">
        <v>0</v>
      </c>
      <c r="D27" s="9">
        <f t="shared" ref="D27:D31" si="6">C$23*C27</f>
        <v>0</v>
      </c>
      <c r="E27" s="239">
        <v>20</v>
      </c>
      <c r="F27" s="9">
        <f t="shared" si="4"/>
        <v>0</v>
      </c>
      <c r="G27" s="249">
        <v>0</v>
      </c>
      <c r="H27" s="9">
        <f t="shared" si="5"/>
        <v>0</v>
      </c>
    </row>
    <row r="28" spans="1:8">
      <c r="A28" s="466"/>
      <c r="B28" s="238" t="s">
        <v>473</v>
      </c>
      <c r="C28" s="248">
        <v>0</v>
      </c>
      <c r="D28" s="9">
        <f t="shared" si="6"/>
        <v>0</v>
      </c>
      <c r="E28" s="239"/>
      <c r="F28" s="9">
        <f t="shared" si="4"/>
        <v>0</v>
      </c>
      <c r="G28" s="249">
        <v>0</v>
      </c>
      <c r="H28" s="9">
        <f t="shared" si="5"/>
        <v>0</v>
      </c>
    </row>
    <row r="29" spans="1:8">
      <c r="A29" s="466"/>
      <c r="B29" s="238"/>
      <c r="C29" s="248">
        <v>0</v>
      </c>
      <c r="D29" s="9">
        <f t="shared" si="6"/>
        <v>0</v>
      </c>
      <c r="E29" s="239"/>
      <c r="F29" s="9">
        <f t="shared" si="4"/>
        <v>0</v>
      </c>
      <c r="G29" s="249">
        <v>0</v>
      </c>
      <c r="H29" s="9">
        <f t="shared" si="5"/>
        <v>0</v>
      </c>
    </row>
    <row r="30" spans="1:8">
      <c r="A30" s="466"/>
      <c r="B30" s="238"/>
      <c r="C30" s="248">
        <v>0</v>
      </c>
      <c r="D30" s="9">
        <f t="shared" si="6"/>
        <v>0</v>
      </c>
      <c r="E30" s="239"/>
      <c r="F30" s="9">
        <f t="shared" si="4"/>
        <v>0</v>
      </c>
      <c r="G30" s="249">
        <v>0</v>
      </c>
      <c r="H30" s="9">
        <f t="shared" si="5"/>
        <v>0</v>
      </c>
    </row>
    <row r="31" spans="1:8">
      <c r="A31" s="467"/>
      <c r="B31" s="238"/>
      <c r="C31" s="248">
        <v>0</v>
      </c>
      <c r="D31" s="9">
        <f t="shared" si="6"/>
        <v>0</v>
      </c>
      <c r="E31" s="239"/>
      <c r="F31" s="9">
        <f t="shared" si="4"/>
        <v>0</v>
      </c>
      <c r="G31" s="249">
        <v>0</v>
      </c>
      <c r="H31" s="9">
        <f t="shared" si="5"/>
        <v>0</v>
      </c>
    </row>
    <row r="32" spans="1:8">
      <c r="A32" s="258" t="s">
        <v>475</v>
      </c>
      <c r="B32" s="263">
        <v>0.05</v>
      </c>
      <c r="C32" s="9">
        <f>B9*B32</f>
        <v>0</v>
      </c>
      <c r="D32" s="9"/>
      <c r="E32" s="239"/>
      <c r="F32" s="9"/>
      <c r="G32" s="249"/>
      <c r="H32" s="9"/>
    </row>
    <row r="33" spans="1:10">
      <c r="A33" s="266" t="s">
        <v>453</v>
      </c>
      <c r="B33" s="238" t="s">
        <v>474</v>
      </c>
      <c r="C33" s="248">
        <v>0</v>
      </c>
      <c r="D33" s="9">
        <f>C$32*C33</f>
        <v>0</v>
      </c>
      <c r="E33" s="239"/>
      <c r="F33" s="9">
        <f t="shared" si="4"/>
        <v>0</v>
      </c>
      <c r="G33" s="249">
        <v>0</v>
      </c>
      <c r="H33" s="9">
        <f t="shared" si="5"/>
        <v>0</v>
      </c>
    </row>
    <row r="34" spans="1:10">
      <c r="A34" s="267"/>
      <c r="B34" s="238"/>
      <c r="C34" s="248">
        <v>0</v>
      </c>
      <c r="D34" s="9">
        <f>C$32*C34</f>
        <v>0</v>
      </c>
      <c r="E34" s="239"/>
      <c r="F34" s="9">
        <f t="shared" si="4"/>
        <v>0</v>
      </c>
      <c r="G34" s="249">
        <v>0</v>
      </c>
      <c r="H34" s="9">
        <f t="shared" si="5"/>
        <v>0</v>
      </c>
    </row>
    <row r="35" spans="1:10">
      <c r="A35" s="267"/>
      <c r="B35" s="238"/>
      <c r="C35" s="248">
        <v>0</v>
      </c>
      <c r="D35" s="9">
        <f>C$32*C35</f>
        <v>0</v>
      </c>
      <c r="E35" s="239"/>
      <c r="F35" s="9">
        <f t="shared" si="4"/>
        <v>0</v>
      </c>
      <c r="G35" s="249">
        <v>0</v>
      </c>
      <c r="H35" s="9">
        <f t="shared" si="5"/>
        <v>0</v>
      </c>
    </row>
    <row r="36" spans="1:10">
      <c r="A36" s="268"/>
      <c r="B36" s="238"/>
      <c r="C36" s="248">
        <v>0</v>
      </c>
      <c r="D36" s="9">
        <f>C$32*C36</f>
        <v>0</v>
      </c>
      <c r="E36" s="239"/>
      <c r="F36" s="9">
        <f t="shared" si="4"/>
        <v>0</v>
      </c>
      <c r="G36" s="249">
        <v>0</v>
      </c>
      <c r="H36" s="9">
        <f t="shared" si="5"/>
        <v>0</v>
      </c>
    </row>
    <row r="37" spans="1:10">
      <c r="A37" s="464" t="s">
        <v>394</v>
      </c>
      <c r="B37" s="464"/>
      <c r="C37" s="464"/>
      <c r="D37" s="464"/>
      <c r="E37" s="464"/>
      <c r="F37" s="464"/>
      <c r="G37" s="464"/>
      <c r="H37" s="464"/>
    </row>
    <row r="39" spans="1:10" ht="17.5">
      <c r="A39" s="468" t="s">
        <v>568</v>
      </c>
      <c r="B39" s="469"/>
      <c r="C39" s="469"/>
      <c r="D39" s="469"/>
      <c r="E39" s="469"/>
      <c r="F39" s="469"/>
      <c r="G39" s="469"/>
      <c r="H39" s="470"/>
    </row>
    <row r="40" spans="1:10">
      <c r="A40" s="471" t="s">
        <v>0</v>
      </c>
      <c r="B40" s="259">
        <v>0.3</v>
      </c>
      <c r="C40" s="259">
        <f>B40+0.05</f>
        <v>0.35</v>
      </c>
      <c r="D40" s="259">
        <f t="shared" ref="D40:G40" si="7">C40+0.05</f>
        <v>0.39999999999999997</v>
      </c>
      <c r="E40" s="259">
        <f t="shared" si="7"/>
        <v>0.44999999999999996</v>
      </c>
      <c r="F40" s="259">
        <f t="shared" si="7"/>
        <v>0.49999999999999994</v>
      </c>
      <c r="G40" s="259">
        <f t="shared" si="7"/>
        <v>0.54999999999999993</v>
      </c>
      <c r="H40" s="259">
        <f>G40+0.05</f>
        <v>0.6</v>
      </c>
    </row>
    <row r="41" spans="1:10">
      <c r="A41" s="472"/>
      <c r="B41" s="253" t="s">
        <v>2</v>
      </c>
      <c r="C41" s="253" t="s">
        <v>3</v>
      </c>
      <c r="D41" s="253" t="s">
        <v>4</v>
      </c>
      <c r="E41" s="253" t="s">
        <v>5</v>
      </c>
      <c r="F41" s="253" t="s">
        <v>6</v>
      </c>
      <c r="G41" s="253" t="s">
        <v>169</v>
      </c>
      <c r="H41" s="253" t="s">
        <v>168</v>
      </c>
    </row>
    <row r="42" spans="1:10">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c r="I42" s="321"/>
      <c r="J42" s="321"/>
    </row>
    <row r="43" spans="1:10">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10">
      <c r="A44" s="9" t="str">
        <f t="shared" si="8"/>
        <v>Paddy/Rice</v>
      </c>
      <c r="B44" s="9">
        <f t="shared" si="9"/>
        <v>0</v>
      </c>
      <c r="C44" s="9">
        <f t="shared" si="10"/>
        <v>0</v>
      </c>
      <c r="D44" s="9">
        <f t="shared" si="10"/>
        <v>0</v>
      </c>
      <c r="E44" s="9">
        <f t="shared" si="10"/>
        <v>0</v>
      </c>
      <c r="F44" s="9">
        <f t="shared" si="10"/>
        <v>0</v>
      </c>
      <c r="G44" s="9">
        <f t="shared" si="10"/>
        <v>0</v>
      </c>
      <c r="H44" s="9">
        <f t="shared" si="10"/>
        <v>0</v>
      </c>
    </row>
    <row r="45" spans="1:10">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10">
      <c r="A46" s="9" t="str">
        <f t="shared" si="8"/>
        <v>Maize</v>
      </c>
      <c r="B46" s="9">
        <f t="shared" si="9"/>
        <v>0</v>
      </c>
      <c r="C46" s="9">
        <f t="shared" si="10"/>
        <v>0</v>
      </c>
      <c r="D46" s="9">
        <f t="shared" si="10"/>
        <v>0</v>
      </c>
      <c r="E46" s="9">
        <f t="shared" si="10"/>
        <v>0</v>
      </c>
      <c r="F46" s="9">
        <f t="shared" si="10"/>
        <v>0</v>
      </c>
      <c r="G46" s="9">
        <f t="shared" si="10"/>
        <v>0</v>
      </c>
      <c r="H46" s="9">
        <f t="shared" si="10"/>
        <v>0</v>
      </c>
    </row>
    <row r="47" spans="1:10">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10">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7.5">
      <c r="A64" s="473" t="s">
        <v>569</v>
      </c>
      <c r="B64" s="474"/>
      <c r="C64" s="474"/>
      <c r="D64" s="474"/>
      <c r="E64" s="474"/>
      <c r="F64" s="474"/>
      <c r="G64" s="474"/>
      <c r="H64" s="475"/>
    </row>
    <row r="65" spans="1:8">
      <c r="A65" s="476" t="s">
        <v>0</v>
      </c>
      <c r="B65" s="260">
        <v>0.1</v>
      </c>
      <c r="C65" s="260">
        <f>B65+0.05</f>
        <v>0.15000000000000002</v>
      </c>
      <c r="D65" s="260">
        <f t="shared" ref="D65:G65" si="15">C65+0.05</f>
        <v>0.2</v>
      </c>
      <c r="E65" s="260">
        <f t="shared" si="15"/>
        <v>0.25</v>
      </c>
      <c r="F65" s="260">
        <f t="shared" si="15"/>
        <v>0.3</v>
      </c>
      <c r="G65" s="260">
        <f t="shared" si="15"/>
        <v>0.35</v>
      </c>
      <c r="H65" s="260">
        <f>G65+0.05</f>
        <v>0.39999999999999997</v>
      </c>
    </row>
    <row r="66" spans="1:8">
      <c r="A66" s="477"/>
      <c r="B66" s="253" t="s">
        <v>2</v>
      </c>
      <c r="C66" s="253" t="s">
        <v>3</v>
      </c>
      <c r="D66" s="253" t="s">
        <v>4</v>
      </c>
      <c r="E66" s="253" t="s">
        <v>5</v>
      </c>
      <c r="F66" s="253" t="s">
        <v>6</v>
      </c>
      <c r="G66" s="253" t="s">
        <v>169</v>
      </c>
      <c r="H66" s="253" t="s">
        <v>168</v>
      </c>
    </row>
    <row r="67" spans="1:8">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0</v>
      </c>
      <c r="C77" s="9">
        <f t="shared" ref="C77:H77" si="28">(B77/B$65)*C$65</f>
        <v>0</v>
      </c>
      <c r="D77" s="9">
        <f t="shared" si="28"/>
        <v>0</v>
      </c>
      <c r="E77" s="9">
        <f t="shared" si="28"/>
        <v>0</v>
      </c>
      <c r="F77" s="9">
        <f t="shared" si="28"/>
        <v>0</v>
      </c>
      <c r="G77" s="9">
        <f t="shared" si="28"/>
        <v>0</v>
      </c>
      <c r="H77" s="9">
        <f t="shared" si="28"/>
        <v>0</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78" t="s">
        <v>570</v>
      </c>
      <c r="B89" s="479"/>
      <c r="C89" s="479"/>
      <c r="D89" s="479"/>
      <c r="E89" s="479"/>
      <c r="F89" s="479"/>
      <c r="G89" s="479"/>
      <c r="H89" s="480"/>
    </row>
    <row r="90" spans="1:8">
      <c r="A90" s="462" t="s">
        <v>0</v>
      </c>
      <c r="B90" s="278">
        <v>0.65</v>
      </c>
      <c r="C90" s="279">
        <f>B90+0.05</f>
        <v>0.70000000000000007</v>
      </c>
      <c r="D90" s="279">
        <f t="shared" ref="D90:G90" si="39">C90+0.05</f>
        <v>0.75000000000000011</v>
      </c>
      <c r="E90" s="279">
        <f t="shared" si="39"/>
        <v>0.80000000000000016</v>
      </c>
      <c r="F90" s="279">
        <f t="shared" si="39"/>
        <v>0.8500000000000002</v>
      </c>
      <c r="G90" s="279">
        <f t="shared" si="39"/>
        <v>0.90000000000000024</v>
      </c>
      <c r="H90" s="279">
        <f>G90+0.05</f>
        <v>0.95000000000000029</v>
      </c>
    </row>
    <row r="91" spans="1:8">
      <c r="A91" s="463"/>
      <c r="B91" s="253" t="s">
        <v>2</v>
      </c>
      <c r="C91" s="253" t="s">
        <v>3</v>
      </c>
      <c r="D91" s="253" t="s">
        <v>4</v>
      </c>
      <c r="E91" s="253" t="s">
        <v>5</v>
      </c>
      <c r="F91" s="253" t="s">
        <v>6</v>
      </c>
      <c r="G91" s="253" t="s">
        <v>169</v>
      </c>
      <c r="H91" s="253" t="s">
        <v>168</v>
      </c>
    </row>
    <row r="92" spans="1:8">
      <c r="A92" s="9" t="str">
        <f t="shared" ref="A92:A112" si="40">A67</f>
        <v>Soybean</v>
      </c>
      <c r="B92" s="9">
        <f t="shared" ref="B92:B100" si="41">D14*$B$90</f>
        <v>0</v>
      </c>
      <c r="C92" s="9">
        <f t="shared" ref="C92:H92" si="42">(B92/B$90)*C$90</f>
        <v>0</v>
      </c>
      <c r="D92" s="9">
        <f t="shared" si="42"/>
        <v>0</v>
      </c>
      <c r="E92" s="9">
        <f t="shared" si="42"/>
        <v>0</v>
      </c>
      <c r="F92" s="9">
        <f t="shared" si="42"/>
        <v>0</v>
      </c>
      <c r="G92" s="9">
        <f t="shared" si="42"/>
        <v>0</v>
      </c>
      <c r="H92" s="9">
        <f t="shared" si="42"/>
        <v>0</v>
      </c>
    </row>
    <row r="93" spans="1:8">
      <c r="A93" s="9" t="str">
        <f t="shared" si="40"/>
        <v>Red Gram/Tur</v>
      </c>
      <c r="B93" s="9">
        <f t="shared" si="41"/>
        <v>0</v>
      </c>
      <c r="C93" s="9">
        <f t="shared" ref="C93:C113" si="43">(B93/B$90)*C$90</f>
        <v>0</v>
      </c>
      <c r="D93" s="9">
        <f>(C93/C90)*D90</f>
        <v>0</v>
      </c>
      <c r="E93" s="9">
        <f t="shared" ref="E93:G93" si="44">(D93/D90)*E90</f>
        <v>0</v>
      </c>
      <c r="F93" s="9">
        <f t="shared" si="44"/>
        <v>0</v>
      </c>
      <c r="G93" s="9">
        <f t="shared" si="44"/>
        <v>0</v>
      </c>
      <c r="H93" s="9">
        <f>(G93/G90)*H90</f>
        <v>0</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0</v>
      </c>
      <c r="C95" s="9">
        <f t="shared" si="43"/>
        <v>0</v>
      </c>
      <c r="D95" s="9">
        <f t="shared" si="45"/>
        <v>0</v>
      </c>
      <c r="E95" s="9">
        <f t="shared" si="45"/>
        <v>0</v>
      </c>
      <c r="F95" s="9">
        <f t="shared" si="45"/>
        <v>0</v>
      </c>
      <c r="G95" s="9">
        <f t="shared" si="45"/>
        <v>0</v>
      </c>
      <c r="H95" s="9">
        <f t="shared" si="45"/>
        <v>0</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0</v>
      </c>
      <c r="C97" s="9">
        <f t="shared" si="43"/>
        <v>0</v>
      </c>
      <c r="D97" s="9">
        <f t="shared" si="45"/>
        <v>0</v>
      </c>
      <c r="E97" s="9">
        <f t="shared" si="45"/>
        <v>0</v>
      </c>
      <c r="F97" s="9">
        <f t="shared" si="45"/>
        <v>0</v>
      </c>
      <c r="G97" s="9">
        <f t="shared" si="45"/>
        <v>0</v>
      </c>
      <c r="H97" s="9">
        <f t="shared" si="45"/>
        <v>0</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0</v>
      </c>
      <c r="C101" s="9">
        <f t="shared" si="43"/>
        <v>0</v>
      </c>
      <c r="D101" s="9">
        <f t="shared" si="45"/>
        <v>0</v>
      </c>
      <c r="E101" s="9">
        <f t="shared" si="45"/>
        <v>0</v>
      </c>
      <c r="F101" s="9">
        <f t="shared" si="45"/>
        <v>0</v>
      </c>
      <c r="G101" s="9">
        <f t="shared" si="45"/>
        <v>0</v>
      </c>
      <c r="H101" s="9">
        <f t="shared" si="45"/>
        <v>0</v>
      </c>
    </row>
    <row r="102" spans="1:8">
      <c r="A102" s="9" t="str">
        <f t="shared" si="40"/>
        <v>Bengal Gram/Channa</v>
      </c>
      <c r="B102" s="9">
        <f t="shared" si="46"/>
        <v>0</v>
      </c>
      <c r="C102" s="9">
        <f t="shared" si="43"/>
        <v>0</v>
      </c>
      <c r="D102" s="9">
        <f t="shared" si="45"/>
        <v>0</v>
      </c>
      <c r="E102" s="9">
        <f t="shared" si="45"/>
        <v>0</v>
      </c>
      <c r="F102" s="9">
        <f t="shared" si="45"/>
        <v>0</v>
      </c>
      <c r="G102" s="9">
        <f t="shared" si="45"/>
        <v>0</v>
      </c>
      <c r="H102" s="9">
        <f t="shared" si="45"/>
        <v>0</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f t="shared" si="40"/>
        <v>0</v>
      </c>
      <c r="B106" s="9">
        <f t="shared" si="46"/>
        <v>0</v>
      </c>
      <c r="C106" s="9">
        <f t="shared" si="43"/>
        <v>0</v>
      </c>
      <c r="D106" s="9">
        <f t="shared" si="47"/>
        <v>0</v>
      </c>
      <c r="E106" s="9">
        <f t="shared" si="47"/>
        <v>0</v>
      </c>
      <c r="F106" s="9">
        <f t="shared" si="47"/>
        <v>0</v>
      </c>
      <c r="G106" s="9">
        <f t="shared" si="47"/>
        <v>0</v>
      </c>
      <c r="H106" s="9">
        <f t="shared" si="47"/>
        <v>0</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3"/>
        <v>0</v>
      </c>
      <c r="D109" s="9">
        <f t="shared" si="47"/>
        <v>0</v>
      </c>
      <c r="E109" s="9">
        <f t="shared" si="47"/>
        <v>0</v>
      </c>
      <c r="F109" s="9">
        <f t="shared" si="47"/>
        <v>0</v>
      </c>
      <c r="G109" s="9">
        <f t="shared" si="47"/>
        <v>0</v>
      </c>
      <c r="H109" s="9">
        <f t="shared" si="47"/>
        <v>0</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539</v>
      </c>
      <c r="C116" s="13"/>
      <c r="D116" s="13"/>
      <c r="E116" s="13"/>
      <c r="F116" s="13"/>
      <c r="G116" s="13"/>
      <c r="H116" s="13"/>
      <c r="I116" s="13"/>
    </row>
    <row r="117" spans="1:9">
      <c r="A117">
        <v>1</v>
      </c>
      <c r="B117" t="s">
        <v>593</v>
      </c>
    </row>
    <row r="118" spans="1:9">
      <c r="A118">
        <v>2</v>
      </c>
      <c r="B118" t="s">
        <v>594</v>
      </c>
    </row>
    <row r="119" spans="1:9">
      <c r="A119">
        <v>3</v>
      </c>
      <c r="B119" t="s">
        <v>542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67" zoomScale="80" zoomScaleSheetLayoutView="80" workbookViewId="0">
      <selection activeCell="B85" sqref="B85"/>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11" t="s">
        <v>494</v>
      </c>
      <c r="B1" s="411"/>
      <c r="C1" s="411"/>
      <c r="D1" s="411"/>
      <c r="E1" s="411"/>
      <c r="F1" s="411"/>
      <c r="G1" s="411"/>
      <c r="H1" s="411"/>
    </row>
    <row r="2" spans="1:26">
      <c r="B2" s="4"/>
    </row>
    <row r="3" spans="1:26" ht="17.5">
      <c r="A3" s="461" t="s">
        <v>571</v>
      </c>
      <c r="B3" s="461"/>
    </row>
    <row r="4" spans="1:26">
      <c r="A4" s="242" t="s">
        <v>0</v>
      </c>
      <c r="B4" s="253" t="s">
        <v>380</v>
      </c>
      <c r="C4" s="254"/>
      <c r="D4" s="254"/>
      <c r="E4" s="254"/>
      <c r="F4" s="254"/>
      <c r="G4" s="254"/>
      <c r="H4" s="254"/>
    </row>
    <row r="5" spans="1:26">
      <c r="A5" s="9" t="s">
        <v>487</v>
      </c>
      <c r="B5" s="238"/>
      <c r="D5" s="255"/>
      <c r="E5" s="255"/>
      <c r="F5" s="255"/>
      <c r="G5" s="255"/>
      <c r="H5" s="255"/>
    </row>
    <row r="6" spans="1:26">
      <c r="A6" s="9" t="s">
        <v>488</v>
      </c>
      <c r="B6" s="238"/>
      <c r="D6" s="255"/>
      <c r="E6" s="255"/>
      <c r="F6" s="255"/>
      <c r="G6" s="255"/>
      <c r="H6" s="255"/>
    </row>
    <row r="7" spans="1:26">
      <c r="A7" s="2" t="s">
        <v>1</v>
      </c>
      <c r="B7" s="2">
        <f>B5+B6</f>
        <v>0</v>
      </c>
      <c r="C7" s="5"/>
      <c r="D7" s="256"/>
      <c r="E7" s="256"/>
      <c r="F7" s="256"/>
      <c r="G7" s="256"/>
      <c r="H7" s="256"/>
    </row>
    <row r="8" spans="1:26">
      <c r="A8" s="2" t="s">
        <v>489</v>
      </c>
      <c r="B8" s="270">
        <v>1</v>
      </c>
      <c r="C8" s="5"/>
      <c r="D8" s="5"/>
      <c r="E8" s="5"/>
      <c r="F8" s="5"/>
      <c r="G8" s="5"/>
      <c r="H8" s="5"/>
    </row>
    <row r="9" spans="1:26">
      <c r="A9" s="2" t="s">
        <v>490</v>
      </c>
      <c r="B9" s="2">
        <f>B7*B8</f>
        <v>0</v>
      </c>
      <c r="C9" s="256"/>
      <c r="D9" s="256"/>
      <c r="E9" s="256"/>
      <c r="F9" s="256"/>
      <c r="G9" s="256"/>
      <c r="H9" s="256"/>
    </row>
    <row r="10" spans="1:26">
      <c r="J10" t="s">
        <v>448</v>
      </c>
      <c r="O10" t="s">
        <v>444</v>
      </c>
      <c r="U10" t="s">
        <v>445</v>
      </c>
      <c r="Y10" t="s">
        <v>446</v>
      </c>
      <c r="Z10" t="s">
        <v>447</v>
      </c>
    </row>
    <row r="11" spans="1:26" ht="17.5">
      <c r="A11" s="411" t="s">
        <v>572</v>
      </c>
      <c r="B11" s="411"/>
      <c r="C11" s="411"/>
      <c r="D11" s="411"/>
      <c r="E11" s="411"/>
      <c r="F11" s="411"/>
      <c r="G11" s="411"/>
      <c r="H11" s="411"/>
      <c r="I11" s="5"/>
      <c r="J11" s="5"/>
      <c r="K11" s="5"/>
      <c r="L11" s="5"/>
      <c r="M11" s="5"/>
      <c r="N11" s="5"/>
      <c r="O11" s="5"/>
      <c r="P11" s="5"/>
    </row>
    <row r="12" spans="1:26">
      <c r="J12" s="3">
        <v>0.65</v>
      </c>
      <c r="K12" s="251">
        <f>J12+0.05</f>
        <v>0.70000000000000007</v>
      </c>
      <c r="L12" s="251">
        <f t="shared" ref="L12:N12" si="0">K12+0.05</f>
        <v>0.75000000000000011</v>
      </c>
      <c r="M12" s="251">
        <f t="shared" si="0"/>
        <v>0.80000000000000016</v>
      </c>
      <c r="N12" s="25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42" t="s">
        <v>384</v>
      </c>
      <c r="B13" s="242" t="s">
        <v>385</v>
      </c>
      <c r="C13" s="243" t="s">
        <v>440</v>
      </c>
      <c r="D13" s="243" t="s">
        <v>449</v>
      </c>
      <c r="E13" s="243" t="s">
        <v>450</v>
      </c>
      <c r="F13" s="243" t="s">
        <v>386</v>
      </c>
      <c r="G13" s="243" t="s">
        <v>441</v>
      </c>
      <c r="H13" s="243" t="s">
        <v>387</v>
      </c>
      <c r="O13" s="250" t="s">
        <v>2</v>
      </c>
      <c r="P13" s="250" t="s">
        <v>3</v>
      </c>
      <c r="Q13" s="250" t="s">
        <v>4</v>
      </c>
      <c r="R13" s="250" t="s">
        <v>5</v>
      </c>
      <c r="S13" s="250" t="s">
        <v>6</v>
      </c>
      <c r="T13" s="250" t="s">
        <v>2</v>
      </c>
      <c r="U13" s="250" t="s">
        <v>3</v>
      </c>
      <c r="V13" s="250" t="s">
        <v>4</v>
      </c>
      <c r="W13" s="250" t="s">
        <v>5</v>
      </c>
      <c r="X13" s="250" t="s">
        <v>6</v>
      </c>
    </row>
    <row r="14" spans="1:26">
      <c r="A14" s="465" t="s">
        <v>388</v>
      </c>
      <c r="B14" s="238" t="s">
        <v>477</v>
      </c>
      <c r="C14" s="248">
        <v>0</v>
      </c>
      <c r="D14" s="9">
        <f t="shared" ref="D14:D40" si="3">$B$9*C14</f>
        <v>0</v>
      </c>
      <c r="E14" s="239">
        <v>15</v>
      </c>
      <c r="F14" s="9">
        <f>D14*E14</f>
        <v>0</v>
      </c>
      <c r="G14" s="249">
        <v>0.1</v>
      </c>
      <c r="H14" s="9">
        <f>(F14-F14*G14)</f>
        <v>0</v>
      </c>
      <c r="J14">
        <f>$D$14*J12</f>
        <v>0</v>
      </c>
      <c r="K14">
        <f>$D$14*K12</f>
        <v>0</v>
      </c>
      <c r="L14">
        <f>$D$14*L12</f>
        <v>0</v>
      </c>
      <c r="M14">
        <f>$D$14*M12</f>
        <v>0</v>
      </c>
      <c r="N14">
        <f>$D$14*N12</f>
        <v>0</v>
      </c>
    </row>
    <row r="15" spans="1:26">
      <c r="A15" s="466"/>
      <c r="B15" s="238" t="s">
        <v>478</v>
      </c>
      <c r="C15" s="248">
        <v>0.1</v>
      </c>
      <c r="D15" s="9">
        <f t="shared" si="3"/>
        <v>0</v>
      </c>
      <c r="E15" s="239">
        <v>7</v>
      </c>
      <c r="F15" s="9">
        <f t="shared" ref="F15:F40" si="4">D15*E15</f>
        <v>0</v>
      </c>
      <c r="G15" s="249">
        <v>0.05</v>
      </c>
      <c r="H15" s="9">
        <f>(F15-F15*G15)</f>
        <v>0</v>
      </c>
    </row>
    <row r="16" spans="1:26">
      <c r="A16" s="466"/>
      <c r="B16" s="238" t="s">
        <v>479</v>
      </c>
      <c r="C16" s="248">
        <v>0</v>
      </c>
      <c r="D16" s="9">
        <f t="shared" si="3"/>
        <v>0</v>
      </c>
      <c r="E16" s="239">
        <v>4</v>
      </c>
      <c r="F16" s="9">
        <f t="shared" si="4"/>
        <v>0</v>
      </c>
      <c r="G16" s="249">
        <v>0</v>
      </c>
      <c r="H16" s="9">
        <f t="shared" ref="H16:H40" si="5">(F16-F16*G16)</f>
        <v>0</v>
      </c>
    </row>
    <row r="17" spans="1:8">
      <c r="A17" s="466"/>
      <c r="B17" s="238" t="s">
        <v>480</v>
      </c>
      <c r="C17" s="248">
        <v>0.05</v>
      </c>
      <c r="D17" s="9">
        <f t="shared" si="3"/>
        <v>0</v>
      </c>
      <c r="E17" s="239">
        <v>7</v>
      </c>
      <c r="F17" s="9">
        <f t="shared" si="4"/>
        <v>0</v>
      </c>
      <c r="G17" s="249">
        <v>0.02</v>
      </c>
      <c r="H17" s="9">
        <f t="shared" si="5"/>
        <v>0</v>
      </c>
    </row>
    <row r="18" spans="1:8">
      <c r="A18" s="466"/>
      <c r="B18" s="238" t="s">
        <v>482</v>
      </c>
      <c r="C18" s="248">
        <v>0</v>
      </c>
      <c r="D18" s="9">
        <f t="shared" si="3"/>
        <v>0</v>
      </c>
      <c r="E18" s="239">
        <v>20</v>
      </c>
      <c r="F18" s="9">
        <f t="shared" si="4"/>
        <v>0</v>
      </c>
      <c r="G18" s="249">
        <v>0</v>
      </c>
      <c r="H18" s="9">
        <f t="shared" si="5"/>
        <v>0</v>
      </c>
    </row>
    <row r="19" spans="1:8">
      <c r="A19" s="466"/>
      <c r="B19" s="238"/>
      <c r="C19" s="248">
        <v>0</v>
      </c>
      <c r="D19" s="9">
        <f t="shared" si="3"/>
        <v>0</v>
      </c>
      <c r="E19" s="239">
        <v>7</v>
      </c>
      <c r="F19" s="9">
        <f t="shared" si="4"/>
        <v>0</v>
      </c>
      <c r="G19" s="249">
        <v>0.1</v>
      </c>
      <c r="H19" s="9">
        <f t="shared" si="5"/>
        <v>0</v>
      </c>
    </row>
    <row r="20" spans="1:8">
      <c r="A20" s="466"/>
      <c r="B20" s="238"/>
      <c r="C20" s="248">
        <v>0</v>
      </c>
      <c r="D20" s="9">
        <f t="shared" si="3"/>
        <v>0</v>
      </c>
      <c r="E20" s="239">
        <v>6</v>
      </c>
      <c r="F20" s="9">
        <f t="shared" si="4"/>
        <v>0</v>
      </c>
      <c r="G20" s="249">
        <v>0.02</v>
      </c>
      <c r="H20" s="9">
        <f t="shared" si="5"/>
        <v>0</v>
      </c>
    </row>
    <row r="21" spans="1:8">
      <c r="A21" s="466"/>
      <c r="B21" s="238"/>
      <c r="C21" s="248">
        <v>0</v>
      </c>
      <c r="D21" s="9">
        <f t="shared" si="3"/>
        <v>0</v>
      </c>
      <c r="E21" s="239"/>
      <c r="F21" s="9">
        <f t="shared" si="4"/>
        <v>0</v>
      </c>
      <c r="G21" s="249">
        <v>0</v>
      </c>
      <c r="H21" s="9">
        <f t="shared" si="5"/>
        <v>0</v>
      </c>
    </row>
    <row r="22" spans="1:8">
      <c r="A22" s="467"/>
      <c r="B22" s="238"/>
      <c r="C22" s="248">
        <v>0</v>
      </c>
      <c r="D22" s="9">
        <f t="shared" si="3"/>
        <v>0</v>
      </c>
      <c r="E22" s="239"/>
      <c r="F22" s="9">
        <f t="shared" si="4"/>
        <v>0</v>
      </c>
      <c r="G22" s="249">
        <v>0</v>
      </c>
      <c r="H22" s="9">
        <f t="shared" si="5"/>
        <v>0</v>
      </c>
    </row>
    <row r="23" spans="1:8">
      <c r="A23" s="269" t="s">
        <v>495</v>
      </c>
      <c r="B23" s="263">
        <v>0</v>
      </c>
      <c r="C23" s="264">
        <f>B9*B23</f>
        <v>0</v>
      </c>
      <c r="D23" s="9"/>
      <c r="E23" s="239"/>
      <c r="F23" s="9"/>
      <c r="G23" s="249"/>
      <c r="H23" s="9"/>
    </row>
    <row r="24" spans="1:8">
      <c r="A24" s="465" t="s">
        <v>390</v>
      </c>
      <c r="B24" s="238" t="s">
        <v>477</v>
      </c>
      <c r="C24" s="248">
        <v>0</v>
      </c>
      <c r="D24" s="9">
        <f>C$23*C24</f>
        <v>0</v>
      </c>
      <c r="E24" s="239">
        <v>10</v>
      </c>
      <c r="F24" s="9">
        <f t="shared" si="4"/>
        <v>0</v>
      </c>
      <c r="G24" s="249">
        <v>0.1</v>
      </c>
      <c r="H24" s="9">
        <f t="shared" si="5"/>
        <v>0</v>
      </c>
    </row>
    <row r="25" spans="1:8">
      <c r="A25" s="466"/>
      <c r="B25" s="238" t="s">
        <v>478</v>
      </c>
      <c r="C25" s="248">
        <v>0.1</v>
      </c>
      <c r="D25" s="9">
        <f>C$23*C25</f>
        <v>0</v>
      </c>
      <c r="E25" s="239">
        <v>10</v>
      </c>
      <c r="F25" s="9">
        <f t="shared" si="4"/>
        <v>0</v>
      </c>
      <c r="G25" s="249">
        <v>0.1</v>
      </c>
      <c r="H25" s="9">
        <f t="shared" si="5"/>
        <v>0</v>
      </c>
    </row>
    <row r="26" spans="1:8">
      <c r="A26" s="466"/>
      <c r="B26" s="238" t="s">
        <v>479</v>
      </c>
      <c r="C26" s="248">
        <v>0</v>
      </c>
      <c r="D26" s="9">
        <f>C$23*C26</f>
        <v>0</v>
      </c>
      <c r="E26" s="239">
        <v>10</v>
      </c>
      <c r="F26" s="9">
        <f t="shared" si="4"/>
        <v>0</v>
      </c>
      <c r="G26" s="249">
        <v>0.05</v>
      </c>
      <c r="H26" s="9">
        <f t="shared" si="5"/>
        <v>0</v>
      </c>
    </row>
    <row r="27" spans="1:8">
      <c r="A27" s="466"/>
      <c r="B27" s="238" t="s">
        <v>480</v>
      </c>
      <c r="C27" s="248">
        <v>0</v>
      </c>
      <c r="D27" s="9">
        <f t="shared" ref="D27:D31" si="6">C$23*C27</f>
        <v>0</v>
      </c>
      <c r="E27" s="239">
        <v>20</v>
      </c>
      <c r="F27" s="9">
        <f t="shared" si="4"/>
        <v>0</v>
      </c>
      <c r="G27" s="249">
        <v>0</v>
      </c>
      <c r="H27" s="9">
        <f t="shared" si="5"/>
        <v>0</v>
      </c>
    </row>
    <row r="28" spans="1:8">
      <c r="A28" s="466"/>
      <c r="B28" s="238" t="s">
        <v>481</v>
      </c>
      <c r="C28" s="248">
        <v>0</v>
      </c>
      <c r="D28" s="9">
        <f t="shared" si="6"/>
        <v>0</v>
      </c>
      <c r="E28" s="239"/>
      <c r="F28" s="9">
        <f t="shared" si="4"/>
        <v>0</v>
      </c>
      <c r="G28" s="249">
        <v>0</v>
      </c>
      <c r="H28" s="9">
        <f t="shared" si="5"/>
        <v>0</v>
      </c>
    </row>
    <row r="29" spans="1:8">
      <c r="A29" s="466"/>
      <c r="B29" s="238"/>
      <c r="C29" s="248">
        <v>0</v>
      </c>
      <c r="D29" s="9">
        <f t="shared" si="6"/>
        <v>0</v>
      </c>
      <c r="E29" s="239"/>
      <c r="F29" s="9">
        <f t="shared" si="4"/>
        <v>0</v>
      </c>
      <c r="G29" s="249">
        <v>0</v>
      </c>
      <c r="H29" s="9">
        <f t="shared" si="5"/>
        <v>0</v>
      </c>
    </row>
    <row r="30" spans="1:8">
      <c r="A30" s="466"/>
      <c r="B30" s="238"/>
      <c r="C30" s="248">
        <v>0</v>
      </c>
      <c r="D30" s="9">
        <f t="shared" si="6"/>
        <v>0</v>
      </c>
      <c r="E30" s="239"/>
      <c r="F30" s="9">
        <f t="shared" si="4"/>
        <v>0</v>
      </c>
      <c r="G30" s="249">
        <v>0</v>
      </c>
      <c r="H30" s="9">
        <f t="shared" si="5"/>
        <v>0</v>
      </c>
    </row>
    <row r="31" spans="1:8">
      <c r="A31" s="467"/>
      <c r="B31" s="238"/>
      <c r="C31" s="248">
        <v>0</v>
      </c>
      <c r="D31" s="9">
        <f t="shared" si="6"/>
        <v>0</v>
      </c>
      <c r="E31" s="239"/>
      <c r="F31" s="9">
        <f t="shared" si="4"/>
        <v>0</v>
      </c>
      <c r="G31" s="249">
        <v>0</v>
      </c>
      <c r="H31" s="9">
        <f t="shared" si="5"/>
        <v>0</v>
      </c>
    </row>
    <row r="32" spans="1:8">
      <c r="A32" s="269" t="s">
        <v>496</v>
      </c>
      <c r="B32" s="263">
        <v>0</v>
      </c>
      <c r="C32" s="238">
        <f>B9*B32</f>
        <v>0</v>
      </c>
      <c r="D32" s="9"/>
      <c r="E32" s="239"/>
      <c r="F32" s="9"/>
      <c r="G32" s="249"/>
      <c r="H32" s="9"/>
    </row>
    <row r="33" spans="1:8">
      <c r="A33" s="266" t="s">
        <v>453</v>
      </c>
      <c r="B33" s="238"/>
      <c r="C33" s="248">
        <v>0</v>
      </c>
      <c r="D33" s="9">
        <f>C$32*C33</f>
        <v>0</v>
      </c>
      <c r="E33" s="239"/>
      <c r="F33" s="9">
        <f t="shared" si="4"/>
        <v>0</v>
      </c>
      <c r="G33" s="249">
        <v>0</v>
      </c>
      <c r="H33" s="9">
        <f t="shared" si="5"/>
        <v>0</v>
      </c>
    </row>
    <row r="34" spans="1:8">
      <c r="A34" s="267"/>
      <c r="B34" s="238"/>
      <c r="C34" s="248">
        <v>0</v>
      </c>
      <c r="D34" s="9">
        <f>C$32*C34</f>
        <v>0</v>
      </c>
      <c r="E34" s="239"/>
      <c r="F34" s="9">
        <f t="shared" si="4"/>
        <v>0</v>
      </c>
      <c r="G34" s="249">
        <v>0</v>
      </c>
      <c r="H34" s="9">
        <f t="shared" si="5"/>
        <v>0</v>
      </c>
    </row>
    <row r="35" spans="1:8">
      <c r="A35" s="267"/>
      <c r="B35" s="238"/>
      <c r="C35" s="248">
        <v>0</v>
      </c>
      <c r="D35" s="9">
        <f>C$32*C35</f>
        <v>0</v>
      </c>
      <c r="E35" s="239"/>
      <c r="F35" s="9">
        <f t="shared" si="4"/>
        <v>0</v>
      </c>
      <c r="G35" s="249">
        <v>0</v>
      </c>
      <c r="H35" s="9">
        <f t="shared" si="5"/>
        <v>0</v>
      </c>
    </row>
    <row r="36" spans="1:8">
      <c r="A36" s="268"/>
      <c r="B36" s="238"/>
      <c r="C36" s="248">
        <v>0</v>
      </c>
      <c r="D36" s="9">
        <f>C$32*C36</f>
        <v>0</v>
      </c>
      <c r="E36" s="239"/>
      <c r="F36" s="9">
        <f t="shared" si="4"/>
        <v>0</v>
      </c>
      <c r="G36" s="249">
        <v>0</v>
      </c>
      <c r="H36" s="9">
        <f t="shared" si="5"/>
        <v>0</v>
      </c>
    </row>
    <row r="37" spans="1:8">
      <c r="A37" s="481" t="s">
        <v>497</v>
      </c>
      <c r="B37" s="238" t="s">
        <v>483</v>
      </c>
      <c r="C37" s="248">
        <v>0.5</v>
      </c>
      <c r="D37" s="9">
        <f t="shared" si="3"/>
        <v>0</v>
      </c>
      <c r="E37" s="239">
        <v>6</v>
      </c>
      <c r="F37" s="9">
        <f t="shared" si="4"/>
        <v>0</v>
      </c>
      <c r="G37" s="249">
        <v>0.05</v>
      </c>
      <c r="H37" s="9">
        <f t="shared" si="5"/>
        <v>0</v>
      </c>
    </row>
    <row r="38" spans="1:8">
      <c r="A38" s="481"/>
      <c r="B38" s="238" t="s">
        <v>484</v>
      </c>
      <c r="C38" s="248">
        <v>0</v>
      </c>
      <c r="D38" s="9">
        <f t="shared" si="3"/>
        <v>0</v>
      </c>
      <c r="E38" s="239"/>
      <c r="F38" s="9">
        <f t="shared" si="4"/>
        <v>0</v>
      </c>
      <c r="G38" s="249">
        <v>0</v>
      </c>
      <c r="H38" s="9">
        <f t="shared" si="5"/>
        <v>0</v>
      </c>
    </row>
    <row r="39" spans="1:8">
      <c r="A39" s="481"/>
      <c r="B39" s="238" t="s">
        <v>485</v>
      </c>
      <c r="C39" s="248">
        <v>0</v>
      </c>
      <c r="D39" s="9">
        <f t="shared" si="3"/>
        <v>0</v>
      </c>
      <c r="E39" s="239"/>
      <c r="F39" s="9">
        <f t="shared" si="4"/>
        <v>0</v>
      </c>
      <c r="G39" s="249">
        <v>0</v>
      </c>
      <c r="H39" s="9">
        <f t="shared" si="5"/>
        <v>0</v>
      </c>
    </row>
    <row r="40" spans="1:8">
      <c r="A40" s="481"/>
      <c r="B40" s="238" t="s">
        <v>486</v>
      </c>
      <c r="C40" s="248">
        <v>0</v>
      </c>
      <c r="D40" s="9">
        <f t="shared" si="3"/>
        <v>0</v>
      </c>
      <c r="E40" s="239"/>
      <c r="F40" s="9">
        <f t="shared" si="4"/>
        <v>0</v>
      </c>
      <c r="G40" s="249">
        <v>0</v>
      </c>
      <c r="H40" s="9">
        <f t="shared" si="5"/>
        <v>0</v>
      </c>
    </row>
    <row r="41" spans="1:8">
      <c r="A41" s="464" t="s">
        <v>394</v>
      </c>
      <c r="B41" s="464"/>
      <c r="C41" s="464"/>
      <c r="D41" s="464"/>
      <c r="E41" s="464"/>
      <c r="F41" s="464"/>
      <c r="G41" s="464"/>
      <c r="H41" s="464"/>
    </row>
    <row r="43" spans="1:8" ht="17.5">
      <c r="A43" s="468" t="s">
        <v>573</v>
      </c>
      <c r="B43" s="469"/>
      <c r="C43" s="469"/>
      <c r="D43" s="469"/>
      <c r="E43" s="469"/>
      <c r="F43" s="469"/>
      <c r="G43" s="469"/>
      <c r="H43" s="470"/>
    </row>
    <row r="44" spans="1:8">
      <c r="A44" s="471" t="s">
        <v>0</v>
      </c>
      <c r="B44" s="259">
        <v>0.35</v>
      </c>
      <c r="C44" s="259">
        <f>B44+0.05</f>
        <v>0.39999999999999997</v>
      </c>
      <c r="D44" s="259">
        <f t="shared" ref="D44:G44" si="7">C44+0.05</f>
        <v>0.44999999999999996</v>
      </c>
      <c r="E44" s="259">
        <f t="shared" si="7"/>
        <v>0.49999999999999994</v>
      </c>
      <c r="F44" s="259">
        <f t="shared" si="7"/>
        <v>0.54999999999999993</v>
      </c>
      <c r="G44" s="259">
        <f t="shared" si="7"/>
        <v>0.6</v>
      </c>
      <c r="H44" s="259">
        <f>G44+0.05</f>
        <v>0.65</v>
      </c>
    </row>
    <row r="45" spans="1:8">
      <c r="A45" s="472"/>
      <c r="B45" s="253" t="s">
        <v>2</v>
      </c>
      <c r="C45" s="253" t="s">
        <v>3</v>
      </c>
      <c r="D45" s="253" t="s">
        <v>4</v>
      </c>
      <c r="E45" s="253" t="s">
        <v>5</v>
      </c>
      <c r="F45" s="253" t="s">
        <v>6</v>
      </c>
      <c r="G45" s="253" t="s">
        <v>169</v>
      </c>
      <c r="H45" s="253" t="s">
        <v>168</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7.5">
      <c r="A71" s="473" t="s">
        <v>574</v>
      </c>
      <c r="B71" s="474"/>
      <c r="C71" s="474"/>
      <c r="D71" s="474"/>
      <c r="E71" s="474"/>
      <c r="F71" s="474"/>
      <c r="G71" s="474"/>
      <c r="H71" s="475"/>
    </row>
    <row r="72" spans="1:8">
      <c r="A72" s="476" t="s">
        <v>0</v>
      </c>
      <c r="B72" s="260">
        <v>0.05</v>
      </c>
      <c r="C72" s="260">
        <f>B72+0.05</f>
        <v>0.1</v>
      </c>
      <c r="D72" s="260">
        <f t="shared" ref="D72:G72" si="26">C72+0.05</f>
        <v>0.15000000000000002</v>
      </c>
      <c r="E72" s="260">
        <f t="shared" si="26"/>
        <v>0.2</v>
      </c>
      <c r="F72" s="260">
        <f t="shared" si="26"/>
        <v>0.25</v>
      </c>
      <c r="G72" s="260">
        <f t="shared" si="26"/>
        <v>0.3</v>
      </c>
      <c r="H72" s="260">
        <f>G72+0.05</f>
        <v>0.35</v>
      </c>
    </row>
    <row r="73" spans="1:8">
      <c r="A73" s="477"/>
      <c r="B73" s="253" t="s">
        <v>2</v>
      </c>
      <c r="C73" s="253" t="s">
        <v>3</v>
      </c>
      <c r="D73" s="253" t="s">
        <v>4</v>
      </c>
      <c r="E73" s="253" t="s">
        <v>5</v>
      </c>
      <c r="F73" s="253" t="s">
        <v>6</v>
      </c>
      <c r="G73" s="253" t="s">
        <v>169</v>
      </c>
      <c r="H73" s="253" t="s">
        <v>168</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7.5">
      <c r="A99" s="473" t="s">
        <v>575</v>
      </c>
      <c r="B99" s="474"/>
      <c r="C99" s="474"/>
      <c r="D99" s="474"/>
      <c r="E99" s="474"/>
      <c r="F99" s="474"/>
      <c r="G99" s="474"/>
      <c r="H99" s="475"/>
    </row>
    <row r="100" spans="1:8">
      <c r="A100" s="462" t="s">
        <v>0</v>
      </c>
      <c r="B100" s="278">
        <v>0.65</v>
      </c>
      <c r="C100" s="279">
        <f>B100+0.05</f>
        <v>0.70000000000000007</v>
      </c>
      <c r="D100" s="279">
        <f t="shared" ref="D100:G100" si="45">C100+0.05</f>
        <v>0.75000000000000011</v>
      </c>
      <c r="E100" s="279">
        <f t="shared" si="45"/>
        <v>0.80000000000000016</v>
      </c>
      <c r="F100" s="279">
        <f t="shared" si="45"/>
        <v>0.8500000000000002</v>
      </c>
      <c r="G100" s="279">
        <f t="shared" si="45"/>
        <v>0.90000000000000024</v>
      </c>
      <c r="H100" s="279">
        <f>G100+0.05</f>
        <v>0.95000000000000029</v>
      </c>
    </row>
    <row r="101" spans="1:8">
      <c r="A101" s="463"/>
      <c r="B101" s="253" t="s">
        <v>2</v>
      </c>
      <c r="C101" s="253" t="s">
        <v>3</v>
      </c>
      <c r="D101" s="253" t="s">
        <v>4</v>
      </c>
      <c r="E101" s="253" t="s">
        <v>5</v>
      </c>
      <c r="F101" s="253" t="s">
        <v>6</v>
      </c>
      <c r="G101" s="253" t="s">
        <v>169</v>
      </c>
      <c r="H101" s="253" t="s">
        <v>168</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539</v>
      </c>
      <c r="C129" s="13"/>
      <c r="D129" s="13"/>
      <c r="E129" s="13"/>
      <c r="F129" s="13"/>
      <c r="G129" s="13"/>
      <c r="H129" s="13"/>
      <c r="I129" s="13"/>
    </row>
    <row r="130" spans="1:9">
      <c r="A130">
        <v>1</v>
      </c>
      <c r="B130" t="s">
        <v>540</v>
      </c>
    </row>
    <row r="131" spans="1:9">
      <c r="A131">
        <v>2</v>
      </c>
      <c r="B131" t="s">
        <v>541</v>
      </c>
    </row>
    <row r="132" spans="1:9">
      <c r="A132">
        <v>3</v>
      </c>
      <c r="B132" t="s">
        <v>542</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1"/>
  <sheetViews>
    <sheetView view="pageBreakPreview" topLeftCell="A181" zoomScale="80" zoomScaleSheetLayoutView="80" workbookViewId="0">
      <selection activeCell="D202" sqref="D202"/>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411" t="s">
        <v>576</v>
      </c>
      <c r="B2" s="411"/>
      <c r="C2" s="411"/>
      <c r="D2" s="411"/>
      <c r="E2" s="411"/>
      <c r="F2" s="411"/>
      <c r="G2" s="411"/>
      <c r="H2" s="411"/>
    </row>
    <row r="3" spans="1:8" ht="17.5">
      <c r="A3" s="411" t="s">
        <v>577</v>
      </c>
      <c r="B3" s="411"/>
      <c r="C3" s="411"/>
      <c r="D3" s="411"/>
      <c r="E3" s="411"/>
      <c r="F3" s="411"/>
      <c r="G3" s="411"/>
      <c r="H3" s="411"/>
    </row>
    <row r="4" spans="1:8">
      <c r="B4" s="72"/>
      <c r="C4" s="72"/>
      <c r="D4" s="72"/>
      <c r="E4" s="72"/>
      <c r="F4" s="410" t="s">
        <v>465</v>
      </c>
      <c r="G4" s="410"/>
      <c r="H4" s="410"/>
    </row>
    <row r="5" spans="1:8">
      <c r="A5" s="72" t="s">
        <v>161</v>
      </c>
      <c r="B5" s="207">
        <f>(2*1000)/100</f>
        <v>20</v>
      </c>
      <c r="C5" s="72" t="s">
        <v>443</v>
      </c>
      <c r="D5" s="72"/>
      <c r="E5" s="72"/>
      <c r="F5" s="242" t="s">
        <v>466</v>
      </c>
      <c r="G5" s="242" t="s">
        <v>467</v>
      </c>
      <c r="H5" s="72"/>
    </row>
    <row r="6" spans="1:8">
      <c r="A6" s="72" t="s">
        <v>162</v>
      </c>
      <c r="B6" s="232">
        <v>8</v>
      </c>
      <c r="C6" s="72"/>
      <c r="D6" s="72"/>
      <c r="E6" s="72"/>
      <c r="F6" s="9" t="s">
        <v>463</v>
      </c>
      <c r="G6" s="261">
        <v>0.03</v>
      </c>
      <c r="H6" s="72"/>
    </row>
    <row r="7" spans="1:8">
      <c r="A7" s="72"/>
      <c r="B7" s="72"/>
      <c r="C7" s="72"/>
      <c r="D7" s="72"/>
      <c r="E7" s="72"/>
      <c r="F7" s="9" t="s">
        <v>464</v>
      </c>
      <c r="G7" s="261">
        <v>0.05</v>
      </c>
      <c r="H7" s="72"/>
    </row>
    <row r="8" spans="1:8">
      <c r="A8" s="72" t="s">
        <v>513</v>
      </c>
      <c r="B8" s="72">
        <v>0</v>
      </c>
      <c r="C8" s="72"/>
      <c r="D8" s="72"/>
      <c r="E8" s="72"/>
      <c r="F8" s="9"/>
      <c r="G8" s="261"/>
      <c r="H8" s="72"/>
    </row>
    <row r="9" spans="1:8">
      <c r="A9" s="124" t="s">
        <v>0</v>
      </c>
      <c r="B9" s="96" t="s">
        <v>2</v>
      </c>
      <c r="C9" s="96" t="s">
        <v>3</v>
      </c>
      <c r="D9" s="96" t="s">
        <v>4</v>
      </c>
      <c r="E9" s="96" t="s">
        <v>5</v>
      </c>
      <c r="F9" s="96" t="s">
        <v>6</v>
      </c>
      <c r="G9" s="96" t="s">
        <v>169</v>
      </c>
      <c r="H9" s="96" t="s">
        <v>168</v>
      </c>
    </row>
    <row r="10" spans="1:8">
      <c r="A10" s="73" t="s">
        <v>442</v>
      </c>
      <c r="B10" s="161">
        <f>B33/($B$5*$B$6)</f>
        <v>0</v>
      </c>
      <c r="C10" s="161">
        <f t="shared" ref="C10:H10" si="0">C33/($B$5*$B$6)</f>
        <v>0</v>
      </c>
      <c r="D10" s="161">
        <f t="shared" si="0"/>
        <v>0</v>
      </c>
      <c r="E10" s="161">
        <f t="shared" si="0"/>
        <v>0</v>
      </c>
      <c r="F10" s="161">
        <f t="shared" si="0"/>
        <v>0</v>
      </c>
      <c r="G10" s="161">
        <f t="shared" si="0"/>
        <v>0</v>
      </c>
      <c r="H10" s="161">
        <f t="shared" si="0"/>
        <v>0</v>
      </c>
    </row>
    <row r="11" spans="1:8">
      <c r="A11" s="167" t="str">
        <f>'10.Grain Production details'!A42</f>
        <v>Soybean</v>
      </c>
      <c r="B11" s="167">
        <f>'10.Grain Production details'!B42</f>
        <v>0</v>
      </c>
      <c r="C11" s="167">
        <f>'10.Grain Production details'!C42</f>
        <v>0</v>
      </c>
      <c r="D11" s="167">
        <f>'10.Grain Production details'!D42</f>
        <v>0</v>
      </c>
      <c r="E11" s="167">
        <f>'10.Grain Production details'!E42</f>
        <v>0</v>
      </c>
      <c r="F11" s="167">
        <f>'10.Grain Production details'!F42</f>
        <v>0</v>
      </c>
      <c r="G11" s="167">
        <f>'10.Grain Production details'!G42</f>
        <v>0</v>
      </c>
      <c r="H11" s="167">
        <f>'10.Grain Production details'!H42</f>
        <v>0</v>
      </c>
    </row>
    <row r="12" spans="1:8">
      <c r="A12" s="167" t="str">
        <f>'10.Grain Production details'!A43</f>
        <v>Red Gram/Tur</v>
      </c>
      <c r="B12" s="167">
        <f>'10.Grain Production details'!B43</f>
        <v>0</v>
      </c>
      <c r="C12" s="167">
        <f>'10.Grain Production details'!C43</f>
        <v>0</v>
      </c>
      <c r="D12" s="167">
        <f>'10.Grain Production details'!D43</f>
        <v>0</v>
      </c>
      <c r="E12" s="167">
        <f>'10.Grain Production details'!E43</f>
        <v>0</v>
      </c>
      <c r="F12" s="167">
        <f>'10.Grain Production details'!F43</f>
        <v>0</v>
      </c>
      <c r="G12" s="167">
        <f>'10.Grain Production details'!G43</f>
        <v>0</v>
      </c>
      <c r="H12" s="167">
        <f>'10.Grain Production details'!H43</f>
        <v>0</v>
      </c>
    </row>
    <row r="13" spans="1:8">
      <c r="A13" s="167" t="str">
        <f>'10.Grain Production details'!A44</f>
        <v>Paddy/Rice</v>
      </c>
      <c r="B13" s="167">
        <f>'10.Grain Production details'!B44</f>
        <v>0</v>
      </c>
      <c r="C13" s="167">
        <f>'10.Grain Production details'!C44</f>
        <v>0</v>
      </c>
      <c r="D13" s="167">
        <f>'10.Grain Production details'!D44</f>
        <v>0</v>
      </c>
      <c r="E13" s="167">
        <f>'10.Grain Production details'!E44</f>
        <v>0</v>
      </c>
      <c r="F13" s="167">
        <f>'10.Grain Production details'!F44</f>
        <v>0</v>
      </c>
      <c r="G13" s="167">
        <f>'10.Grain Production details'!G44</f>
        <v>0</v>
      </c>
      <c r="H13" s="167">
        <f>'10.Grain Production details'!H44</f>
        <v>0</v>
      </c>
    </row>
    <row r="14" spans="1:8">
      <c r="A14" s="167" t="str">
        <f>'10.Grain Production details'!A45</f>
        <v>Green Gram/ Moong</v>
      </c>
      <c r="B14" s="167">
        <f>'10.Grain Production details'!B45</f>
        <v>0</v>
      </c>
      <c r="C14" s="167">
        <f>'10.Grain Production details'!C45</f>
        <v>0</v>
      </c>
      <c r="D14" s="167">
        <f>'10.Grain Production details'!D45</f>
        <v>0</v>
      </c>
      <c r="E14" s="167">
        <f>'10.Grain Production details'!E45</f>
        <v>0</v>
      </c>
      <c r="F14" s="167">
        <f>'10.Grain Production details'!F45</f>
        <v>0</v>
      </c>
      <c r="G14" s="167">
        <f>'10.Grain Production details'!G45</f>
        <v>0</v>
      </c>
      <c r="H14" s="167">
        <f>'10.Grain Production details'!H45</f>
        <v>0</v>
      </c>
    </row>
    <row r="15" spans="1:8">
      <c r="A15" s="167" t="str">
        <f>'10.Grain Production details'!A46</f>
        <v>Maize</v>
      </c>
      <c r="B15" s="167">
        <f>'10.Grain Production details'!B46</f>
        <v>0</v>
      </c>
      <c r="C15" s="167">
        <f>'10.Grain Production details'!C46</f>
        <v>0</v>
      </c>
      <c r="D15" s="167">
        <f>'10.Grain Production details'!D46</f>
        <v>0</v>
      </c>
      <c r="E15" s="167">
        <f>'10.Grain Production details'!E46</f>
        <v>0</v>
      </c>
      <c r="F15" s="167">
        <f>'10.Grain Production details'!F46</f>
        <v>0</v>
      </c>
      <c r="G15" s="167">
        <f>'10.Grain Production details'!G46</f>
        <v>0</v>
      </c>
      <c r="H15" s="167">
        <f>'10.Grain Production details'!H46</f>
        <v>0</v>
      </c>
    </row>
    <row r="16" spans="1:8">
      <c r="A16" s="167" t="str">
        <f>'10.Grain Production details'!A47</f>
        <v>Black Gram/Udid</v>
      </c>
      <c r="B16" s="167">
        <f>'10.Grain Production details'!B47</f>
        <v>0</v>
      </c>
      <c r="C16" s="167">
        <f>'10.Grain Production details'!C47</f>
        <v>0</v>
      </c>
      <c r="D16" s="167">
        <f>'10.Grain Production details'!D47</f>
        <v>0</v>
      </c>
      <c r="E16" s="167">
        <f>'10.Grain Production details'!E47</f>
        <v>0</v>
      </c>
      <c r="F16" s="167">
        <f>'10.Grain Production details'!F47</f>
        <v>0</v>
      </c>
      <c r="G16" s="167">
        <f>'10.Grain Production details'!G47</f>
        <v>0</v>
      </c>
      <c r="H16" s="167">
        <f>'10.Grain Production details'!H47</f>
        <v>0</v>
      </c>
    </row>
    <row r="17" spans="1:8">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c r="A18" s="167" t="str">
        <f>'10.Grain Production details'!A49</f>
        <v>Jawar</v>
      </c>
      <c r="B18" s="167">
        <f>'10.Grain Production details'!B49</f>
        <v>0</v>
      </c>
      <c r="C18" s="167">
        <f>'10.Grain Production details'!C49</f>
        <v>0</v>
      </c>
      <c r="D18" s="167">
        <f>'10.Grain Production details'!D49</f>
        <v>0</v>
      </c>
      <c r="E18" s="167">
        <f>'10.Grain Production details'!E49</f>
        <v>0</v>
      </c>
      <c r="F18" s="167">
        <f>'10.Grain Production details'!F49</f>
        <v>0</v>
      </c>
      <c r="G18" s="167">
        <f>'10.Grain Production details'!G49</f>
        <v>0</v>
      </c>
      <c r="H18" s="167">
        <f>'10.Grain Production details'!H49</f>
        <v>0</v>
      </c>
    </row>
    <row r="19" spans="1:8">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details'!B51</f>
        <v>0</v>
      </c>
      <c r="C20" s="167">
        <f>'10.Grain Production details'!C51</f>
        <v>0</v>
      </c>
      <c r="D20" s="167">
        <f>'10.Grain Production details'!D51</f>
        <v>0</v>
      </c>
      <c r="E20" s="167">
        <f>'10.Grain Production details'!E51</f>
        <v>0</v>
      </c>
      <c r="F20" s="167">
        <f>'10.Grain Production details'!F51</f>
        <v>0</v>
      </c>
      <c r="G20" s="167">
        <f>'10.Grain Production details'!G51</f>
        <v>0</v>
      </c>
      <c r="H20" s="167">
        <f>'10.Grain Production details'!H51</f>
        <v>0</v>
      </c>
    </row>
    <row r="21" spans="1:8">
      <c r="A21" s="167" t="str">
        <f>'10.Grain Production details'!A52</f>
        <v>Bengal Gram/Channa</v>
      </c>
      <c r="B21" s="167">
        <f>'10.Grain Production details'!B52</f>
        <v>0</v>
      </c>
      <c r="C21" s="167">
        <f>'10.Grain Production details'!C52</f>
        <v>0</v>
      </c>
      <c r="D21" s="167">
        <f>'10.Grain Production details'!D52</f>
        <v>0</v>
      </c>
      <c r="E21" s="167">
        <f>'10.Grain Production details'!E52</f>
        <v>0</v>
      </c>
      <c r="F21" s="167">
        <f>'10.Grain Production details'!F52</f>
        <v>0</v>
      </c>
      <c r="G21" s="167">
        <f>'10.Grain Production details'!G52</f>
        <v>0</v>
      </c>
      <c r="H21" s="167">
        <f>'10.Grain Production details'!H52</f>
        <v>0</v>
      </c>
    </row>
    <row r="22" spans="1:8">
      <c r="A22" s="167" t="str">
        <f>'10.Grain Production details'!A53</f>
        <v>Jawar</v>
      </c>
      <c r="B22" s="167">
        <f>'10.Grain Production details'!B53</f>
        <v>0</v>
      </c>
      <c r="C22" s="167">
        <f>'10.Grain Production details'!C53</f>
        <v>0</v>
      </c>
      <c r="D22" s="167">
        <f>'10.Grain Production details'!D53</f>
        <v>0</v>
      </c>
      <c r="E22" s="167">
        <f>'10.Grain Production details'!E53</f>
        <v>0</v>
      </c>
      <c r="F22" s="167">
        <f>'10.Grain Production details'!F53</f>
        <v>0</v>
      </c>
      <c r="G22" s="167">
        <f>'10.Grain Production details'!G53</f>
        <v>0</v>
      </c>
      <c r="H22" s="167">
        <f>'10.Grain Production details'!H53</f>
        <v>0</v>
      </c>
    </row>
    <row r="23" spans="1:8">
      <c r="A23" s="167" t="str">
        <f>'10.Grain Production details'!A54</f>
        <v>Maize</v>
      </c>
      <c r="B23" s="167">
        <f>'10.Grain Production details'!B54</f>
        <v>0</v>
      </c>
      <c r="C23" s="167">
        <f>'10.Grain Production details'!C54</f>
        <v>0</v>
      </c>
      <c r="D23" s="167">
        <f>'10.Grain Production details'!D54</f>
        <v>0</v>
      </c>
      <c r="E23" s="167">
        <f>'10.Grain Production details'!E54</f>
        <v>0</v>
      </c>
      <c r="F23" s="167">
        <f>'10.Grain Production details'!F54</f>
        <v>0</v>
      </c>
      <c r="G23" s="167">
        <f>'10.Grain Production details'!G54</f>
        <v>0</v>
      </c>
      <c r="H23" s="167">
        <f>'10.Grain Production details'!H54</f>
        <v>0</v>
      </c>
    </row>
    <row r="24" spans="1:8">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5" t="s">
        <v>510</v>
      </c>
      <c r="B33" s="167">
        <f t="shared" ref="B33:H33" si="1">SUM(B11:B32)</f>
        <v>0</v>
      </c>
      <c r="C33" s="167">
        <f t="shared" si="1"/>
        <v>0</v>
      </c>
      <c r="D33" s="167">
        <f t="shared" si="1"/>
        <v>0</v>
      </c>
      <c r="E33" s="167">
        <f t="shared" si="1"/>
        <v>0</v>
      </c>
      <c r="F33" s="167">
        <f t="shared" si="1"/>
        <v>0</v>
      </c>
      <c r="G33" s="167">
        <f t="shared" si="1"/>
        <v>0</v>
      </c>
      <c r="H33" s="167">
        <f t="shared" si="1"/>
        <v>0</v>
      </c>
    </row>
    <row r="34" spans="1:8">
      <c r="A34" s="167" t="str">
        <f>'11.F&amp;V Crop Production details'!A1:H1</f>
        <v>Fruit  &amp; Vegetables Crop Production Details</v>
      </c>
      <c r="B34" s="167"/>
      <c r="C34" s="167"/>
      <c r="D34" s="167"/>
      <c r="E34" s="167"/>
      <c r="F34" s="167"/>
      <c r="G34" s="167"/>
      <c r="H34" s="167"/>
    </row>
    <row r="35" spans="1:8">
      <c r="A35" s="167" t="str">
        <f>'11.F&amp;V Crop Production details'!A46</f>
        <v>Onion</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c r="A36" s="167" t="str">
        <f>'11.F&amp;V Crop Production details'!A47</f>
        <v>Tomato</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c r="A53" s="167">
        <f>'11.F&amp;V Crop Production details'!A64</f>
        <v>0</v>
      </c>
      <c r="B53" s="167"/>
      <c r="C53" s="167"/>
      <c r="D53" s="167"/>
      <c r="E53" s="167"/>
      <c r="F53" s="167"/>
      <c r="G53" s="167"/>
      <c r="H53" s="167"/>
    </row>
    <row r="54" spans="1:8">
      <c r="A54" s="167">
        <f>'11.F&amp;V Crop Production details'!A65</f>
        <v>0</v>
      </c>
      <c r="B54" s="167"/>
      <c r="C54" s="167"/>
      <c r="D54" s="167"/>
      <c r="E54" s="167"/>
      <c r="F54" s="167"/>
      <c r="G54" s="167"/>
      <c r="H54" s="167"/>
    </row>
    <row r="55" spans="1:8">
      <c r="A55" s="167">
        <f>'11.F&amp;V Crop Production details'!A66</f>
        <v>0</v>
      </c>
      <c r="B55" s="167"/>
      <c r="C55" s="167"/>
      <c r="D55" s="167"/>
      <c r="E55" s="167"/>
      <c r="F55" s="167"/>
      <c r="G55" s="167"/>
      <c r="H55" s="167"/>
    </row>
    <row r="56" spans="1:8">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c r="A59" s="167" t="str">
        <f>'11.F&amp;V Crop Production details'!A70</f>
        <v>Citrus</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c r="A60" s="167"/>
      <c r="B60" s="167"/>
      <c r="C60" s="167"/>
      <c r="D60" s="167"/>
      <c r="E60" s="167"/>
      <c r="F60" s="167"/>
      <c r="G60" s="167"/>
      <c r="H60" s="167"/>
    </row>
    <row r="61" spans="1:8">
      <c r="A61" s="75" t="s">
        <v>509</v>
      </c>
      <c r="B61" s="167">
        <f t="shared" ref="B61:H61" si="2">SUM(B35:B59)</f>
        <v>0</v>
      </c>
      <c r="C61" s="167">
        <f t="shared" si="2"/>
        <v>0</v>
      </c>
      <c r="D61" s="167">
        <f t="shared" si="2"/>
        <v>0</v>
      </c>
      <c r="E61" s="167">
        <f t="shared" si="2"/>
        <v>0</v>
      </c>
      <c r="F61" s="167">
        <f t="shared" si="2"/>
        <v>0</v>
      </c>
      <c r="G61" s="167">
        <f t="shared" si="2"/>
        <v>0</v>
      </c>
      <c r="H61" s="167">
        <f t="shared" si="2"/>
        <v>0</v>
      </c>
    </row>
    <row r="62" spans="1:8">
      <c r="A62" s="234" t="s">
        <v>511</v>
      </c>
      <c r="B62" s="247">
        <v>0.5</v>
      </c>
      <c r="C62" s="247">
        <v>0.5</v>
      </c>
      <c r="D62" s="247">
        <v>0.5</v>
      </c>
      <c r="E62" s="247">
        <v>0.5</v>
      </c>
      <c r="F62" s="247">
        <v>0.5</v>
      </c>
      <c r="G62" s="247">
        <v>0.5</v>
      </c>
      <c r="H62" s="247">
        <v>0.5</v>
      </c>
    </row>
    <row r="63" spans="1:8">
      <c r="A63" s="234" t="s">
        <v>512</v>
      </c>
      <c r="B63" s="247">
        <f t="shared" ref="B63:H63" si="3">1-B62</f>
        <v>0.5</v>
      </c>
      <c r="C63" s="247">
        <f t="shared" si="3"/>
        <v>0.5</v>
      </c>
      <c r="D63" s="247">
        <f t="shared" si="3"/>
        <v>0.5</v>
      </c>
      <c r="E63" s="247">
        <f t="shared" si="3"/>
        <v>0.5</v>
      </c>
      <c r="F63" s="247">
        <f t="shared" si="3"/>
        <v>0.5</v>
      </c>
      <c r="G63" s="247">
        <f t="shared" si="3"/>
        <v>0.5</v>
      </c>
      <c r="H63" s="247">
        <f t="shared" si="3"/>
        <v>0.5</v>
      </c>
    </row>
    <row r="64" spans="1:8">
      <c r="A64" s="234"/>
      <c r="B64" s="247"/>
      <c r="C64" s="247"/>
      <c r="D64" s="247"/>
      <c r="E64" s="247"/>
      <c r="F64" s="247"/>
      <c r="G64" s="247"/>
      <c r="H64" s="247"/>
    </row>
    <row r="65" spans="1:8">
      <c r="A65" s="234" t="s">
        <v>165</v>
      </c>
      <c r="B65" s="235">
        <f t="shared" ref="B65:H65" si="4">B33*B62</f>
        <v>0</v>
      </c>
      <c r="C65" s="235">
        <f t="shared" si="4"/>
        <v>0</v>
      </c>
      <c r="D65" s="235">
        <f t="shared" si="4"/>
        <v>0</v>
      </c>
      <c r="E65" s="235">
        <f t="shared" si="4"/>
        <v>0</v>
      </c>
      <c r="F65" s="235">
        <f t="shared" si="4"/>
        <v>0</v>
      </c>
      <c r="G65" s="235">
        <f t="shared" si="4"/>
        <v>0</v>
      </c>
      <c r="H65" s="235">
        <f t="shared" si="4"/>
        <v>0</v>
      </c>
    </row>
    <row r="66" spans="1:8">
      <c r="A66" s="75"/>
      <c r="B66" s="167"/>
      <c r="C66" s="167"/>
      <c r="D66" s="167"/>
      <c r="E66" s="167"/>
      <c r="F66" s="167"/>
      <c r="G66" s="167"/>
      <c r="H66" s="167"/>
    </row>
    <row r="67" spans="1:8">
      <c r="A67" s="75" t="s">
        <v>166</v>
      </c>
      <c r="B67" s="167"/>
      <c r="C67" s="167"/>
      <c r="D67" s="167"/>
      <c r="E67" s="167"/>
      <c r="F67" s="167"/>
      <c r="G67" s="167"/>
      <c r="H67" s="167"/>
    </row>
    <row r="68" spans="1:8">
      <c r="A68" s="73" t="str">
        <f t="shared" ref="A68:A89" si="5">A11</f>
        <v>Soybean</v>
      </c>
      <c r="B68" s="246">
        <f t="shared" ref="B68:B89" si="6">B11*$B$63</f>
        <v>0</v>
      </c>
      <c r="C68" s="246">
        <f t="shared" ref="C68:C83" si="7">C11*$C$63</f>
        <v>0</v>
      </c>
      <c r="D68" s="246">
        <f t="shared" ref="D68:D83" si="8">D11*$D$63</f>
        <v>0</v>
      </c>
      <c r="E68" s="246">
        <f t="shared" ref="E68:E83" si="9">E11*$E$63</f>
        <v>0</v>
      </c>
      <c r="F68" s="246">
        <f t="shared" ref="F68:F83" si="10">F11*$F$63</f>
        <v>0</v>
      </c>
      <c r="G68" s="246">
        <f t="shared" ref="G68:G83" si="11">G11*$G$63</f>
        <v>0</v>
      </c>
      <c r="H68" s="246">
        <f t="shared" ref="H68:H83" si="12">H11*$H$63</f>
        <v>0</v>
      </c>
    </row>
    <row r="69" spans="1:8">
      <c r="A69" s="73" t="str">
        <f t="shared" si="5"/>
        <v>Red Gram/Tur</v>
      </c>
      <c r="B69" s="246">
        <f t="shared" si="6"/>
        <v>0</v>
      </c>
      <c r="C69" s="246">
        <f t="shared" si="7"/>
        <v>0</v>
      </c>
      <c r="D69" s="246">
        <f t="shared" si="8"/>
        <v>0</v>
      </c>
      <c r="E69" s="246">
        <f t="shared" si="9"/>
        <v>0</v>
      </c>
      <c r="F69" s="246">
        <f t="shared" si="10"/>
        <v>0</v>
      </c>
      <c r="G69" s="246">
        <f t="shared" si="11"/>
        <v>0</v>
      </c>
      <c r="H69" s="246">
        <f t="shared" si="12"/>
        <v>0</v>
      </c>
    </row>
    <row r="70" spans="1:8">
      <c r="A70" s="73" t="str">
        <f t="shared" si="5"/>
        <v>Paddy/Rice</v>
      </c>
      <c r="B70" s="246">
        <f t="shared" si="6"/>
        <v>0</v>
      </c>
      <c r="C70" s="246">
        <f t="shared" si="7"/>
        <v>0</v>
      </c>
      <c r="D70" s="246">
        <f t="shared" si="8"/>
        <v>0</v>
      </c>
      <c r="E70" s="246">
        <f t="shared" si="9"/>
        <v>0</v>
      </c>
      <c r="F70" s="246">
        <f t="shared" si="10"/>
        <v>0</v>
      </c>
      <c r="G70" s="246">
        <f t="shared" si="11"/>
        <v>0</v>
      </c>
      <c r="H70" s="246">
        <f t="shared" si="12"/>
        <v>0</v>
      </c>
    </row>
    <row r="71" spans="1:8">
      <c r="A71" s="73" t="str">
        <f t="shared" si="5"/>
        <v>Green Gram/ Moong</v>
      </c>
      <c r="B71" s="246">
        <f t="shared" si="6"/>
        <v>0</v>
      </c>
      <c r="C71" s="246">
        <f t="shared" si="7"/>
        <v>0</v>
      </c>
      <c r="D71" s="246">
        <f t="shared" si="8"/>
        <v>0</v>
      </c>
      <c r="E71" s="246">
        <f t="shared" si="9"/>
        <v>0</v>
      </c>
      <c r="F71" s="246">
        <f t="shared" si="10"/>
        <v>0</v>
      </c>
      <c r="G71" s="246">
        <f t="shared" si="11"/>
        <v>0</v>
      </c>
      <c r="H71" s="246">
        <f t="shared" si="12"/>
        <v>0</v>
      </c>
    </row>
    <row r="72" spans="1:8">
      <c r="A72" s="73" t="str">
        <f t="shared" si="5"/>
        <v>Maize</v>
      </c>
      <c r="B72" s="246">
        <f t="shared" si="6"/>
        <v>0</v>
      </c>
      <c r="C72" s="246">
        <f t="shared" si="7"/>
        <v>0</v>
      </c>
      <c r="D72" s="246">
        <f t="shared" si="8"/>
        <v>0</v>
      </c>
      <c r="E72" s="246">
        <f t="shared" si="9"/>
        <v>0</v>
      </c>
      <c r="F72" s="246">
        <f t="shared" si="10"/>
        <v>0</v>
      </c>
      <c r="G72" s="246">
        <f t="shared" si="11"/>
        <v>0</v>
      </c>
      <c r="H72" s="246">
        <f t="shared" si="12"/>
        <v>0</v>
      </c>
    </row>
    <row r="73" spans="1:8">
      <c r="A73" s="73" t="str">
        <f t="shared" si="5"/>
        <v>Black Gram/Udid</v>
      </c>
      <c r="B73" s="246">
        <f t="shared" si="6"/>
        <v>0</v>
      </c>
      <c r="C73" s="246">
        <f t="shared" si="7"/>
        <v>0</v>
      </c>
      <c r="D73" s="246">
        <f t="shared" si="8"/>
        <v>0</v>
      </c>
      <c r="E73" s="246">
        <f t="shared" si="9"/>
        <v>0</v>
      </c>
      <c r="F73" s="246">
        <f t="shared" si="10"/>
        <v>0</v>
      </c>
      <c r="G73" s="246">
        <f t="shared" si="11"/>
        <v>0</v>
      </c>
      <c r="H73" s="246">
        <f t="shared" si="12"/>
        <v>0</v>
      </c>
    </row>
    <row r="74" spans="1:8">
      <c r="A74" s="73" t="str">
        <f t="shared" si="5"/>
        <v>Bajra</v>
      </c>
      <c r="B74" s="246">
        <f t="shared" si="6"/>
        <v>0</v>
      </c>
      <c r="C74" s="246">
        <f t="shared" si="7"/>
        <v>0</v>
      </c>
      <c r="D74" s="246">
        <f t="shared" si="8"/>
        <v>0</v>
      </c>
      <c r="E74" s="246">
        <f t="shared" si="9"/>
        <v>0</v>
      </c>
      <c r="F74" s="246">
        <f t="shared" si="10"/>
        <v>0</v>
      </c>
      <c r="G74" s="246">
        <f t="shared" si="11"/>
        <v>0</v>
      </c>
      <c r="H74" s="246">
        <f t="shared" si="12"/>
        <v>0</v>
      </c>
    </row>
    <row r="75" spans="1:8">
      <c r="A75" s="73" t="str">
        <f t="shared" si="5"/>
        <v>Jawar</v>
      </c>
      <c r="B75" s="246">
        <f t="shared" si="6"/>
        <v>0</v>
      </c>
      <c r="C75" s="246">
        <f t="shared" si="7"/>
        <v>0</v>
      </c>
      <c r="D75" s="246">
        <f t="shared" si="8"/>
        <v>0</v>
      </c>
      <c r="E75" s="246">
        <f t="shared" si="9"/>
        <v>0</v>
      </c>
      <c r="F75" s="246">
        <f t="shared" si="10"/>
        <v>0</v>
      </c>
      <c r="G75" s="246">
        <f t="shared" si="11"/>
        <v>0</v>
      </c>
      <c r="H75" s="246">
        <f t="shared" si="12"/>
        <v>0</v>
      </c>
    </row>
    <row r="76" spans="1:8">
      <c r="A76" s="73" t="str">
        <f t="shared" si="5"/>
        <v>Sunflower</v>
      </c>
      <c r="B76" s="246">
        <f t="shared" si="6"/>
        <v>0</v>
      </c>
      <c r="C76" s="246">
        <f t="shared" si="7"/>
        <v>0</v>
      </c>
      <c r="D76" s="246">
        <f t="shared" si="8"/>
        <v>0</v>
      </c>
      <c r="E76" s="246">
        <f t="shared" si="9"/>
        <v>0</v>
      </c>
      <c r="F76" s="246">
        <f t="shared" si="10"/>
        <v>0</v>
      </c>
      <c r="G76" s="246">
        <f t="shared" si="11"/>
        <v>0</v>
      </c>
      <c r="H76" s="246">
        <f t="shared" si="12"/>
        <v>0</v>
      </c>
    </row>
    <row r="77" spans="1:8">
      <c r="A77" s="73" t="str">
        <f t="shared" si="5"/>
        <v>Wheat</v>
      </c>
      <c r="B77" s="246">
        <f t="shared" si="6"/>
        <v>0</v>
      </c>
      <c r="C77" s="246">
        <f t="shared" si="7"/>
        <v>0</v>
      </c>
      <c r="D77" s="246">
        <f t="shared" si="8"/>
        <v>0</v>
      </c>
      <c r="E77" s="246">
        <f t="shared" si="9"/>
        <v>0</v>
      </c>
      <c r="F77" s="246">
        <f t="shared" si="10"/>
        <v>0</v>
      </c>
      <c r="G77" s="246">
        <f t="shared" si="11"/>
        <v>0</v>
      </c>
      <c r="H77" s="246">
        <f t="shared" si="12"/>
        <v>0</v>
      </c>
    </row>
    <row r="78" spans="1:8">
      <c r="A78" s="73" t="str">
        <f t="shared" si="5"/>
        <v>Bengal Gram/Channa</v>
      </c>
      <c r="B78" s="246">
        <f t="shared" si="6"/>
        <v>0</v>
      </c>
      <c r="C78" s="246">
        <f t="shared" si="7"/>
        <v>0</v>
      </c>
      <c r="D78" s="246">
        <f t="shared" si="8"/>
        <v>0</v>
      </c>
      <c r="E78" s="246">
        <f t="shared" si="9"/>
        <v>0</v>
      </c>
      <c r="F78" s="246">
        <f t="shared" si="10"/>
        <v>0</v>
      </c>
      <c r="G78" s="246">
        <f t="shared" si="11"/>
        <v>0</v>
      </c>
      <c r="H78" s="246">
        <f t="shared" si="12"/>
        <v>0</v>
      </c>
    </row>
    <row r="79" spans="1:8">
      <c r="A79" s="73" t="str">
        <f t="shared" si="5"/>
        <v>Jawar</v>
      </c>
      <c r="B79" s="246">
        <f t="shared" si="6"/>
        <v>0</v>
      </c>
      <c r="C79" s="246">
        <f t="shared" si="7"/>
        <v>0</v>
      </c>
      <c r="D79" s="246">
        <f t="shared" si="8"/>
        <v>0</v>
      </c>
      <c r="E79" s="246">
        <f t="shared" si="9"/>
        <v>0</v>
      </c>
      <c r="F79" s="246">
        <f t="shared" si="10"/>
        <v>0</v>
      </c>
      <c r="G79" s="246">
        <f t="shared" si="11"/>
        <v>0</v>
      </c>
      <c r="H79" s="246">
        <f t="shared" si="12"/>
        <v>0</v>
      </c>
    </row>
    <row r="80" spans="1:8">
      <c r="A80" s="73" t="str">
        <f t="shared" si="5"/>
        <v>Maize</v>
      </c>
      <c r="B80" s="246">
        <f t="shared" si="6"/>
        <v>0</v>
      </c>
      <c r="C80" s="246">
        <f t="shared" si="7"/>
        <v>0</v>
      </c>
      <c r="D80" s="246">
        <f t="shared" si="8"/>
        <v>0</v>
      </c>
      <c r="E80" s="246">
        <f t="shared" si="9"/>
        <v>0</v>
      </c>
      <c r="F80" s="246">
        <f t="shared" si="10"/>
        <v>0</v>
      </c>
      <c r="G80" s="246">
        <f t="shared" si="11"/>
        <v>0</v>
      </c>
      <c r="H80" s="246">
        <f t="shared" si="12"/>
        <v>0</v>
      </c>
    </row>
    <row r="81" spans="1:12">
      <c r="A81" s="73" t="str">
        <f t="shared" si="5"/>
        <v>Safflower</v>
      </c>
      <c r="B81" s="246">
        <f t="shared" si="6"/>
        <v>0</v>
      </c>
      <c r="C81" s="246">
        <f t="shared" si="7"/>
        <v>0</v>
      </c>
      <c r="D81" s="246">
        <f t="shared" si="8"/>
        <v>0</v>
      </c>
      <c r="E81" s="246">
        <f t="shared" si="9"/>
        <v>0</v>
      </c>
      <c r="F81" s="246">
        <f t="shared" si="10"/>
        <v>0</v>
      </c>
      <c r="G81" s="246">
        <f t="shared" si="11"/>
        <v>0</v>
      </c>
      <c r="H81" s="246">
        <f t="shared" si="12"/>
        <v>0</v>
      </c>
    </row>
    <row r="82" spans="1:12">
      <c r="A82" s="73">
        <f t="shared" si="5"/>
        <v>0</v>
      </c>
      <c r="B82" s="246">
        <f t="shared" si="6"/>
        <v>0</v>
      </c>
      <c r="C82" s="246">
        <f t="shared" si="7"/>
        <v>0</v>
      </c>
      <c r="D82" s="246">
        <f t="shared" si="8"/>
        <v>0</v>
      </c>
      <c r="E82" s="246">
        <f t="shared" si="9"/>
        <v>0</v>
      </c>
      <c r="F82" s="246">
        <f t="shared" si="10"/>
        <v>0</v>
      </c>
      <c r="G82" s="246">
        <f t="shared" si="11"/>
        <v>0</v>
      </c>
      <c r="H82" s="246">
        <f t="shared" si="12"/>
        <v>0</v>
      </c>
    </row>
    <row r="83" spans="1:12">
      <c r="A83" s="73">
        <f t="shared" si="5"/>
        <v>0</v>
      </c>
      <c r="B83" s="246">
        <f t="shared" si="6"/>
        <v>0</v>
      </c>
      <c r="C83" s="246">
        <f t="shared" si="7"/>
        <v>0</v>
      </c>
      <c r="D83" s="246">
        <f t="shared" si="8"/>
        <v>0</v>
      </c>
      <c r="E83" s="246">
        <f t="shared" si="9"/>
        <v>0</v>
      </c>
      <c r="F83" s="246">
        <f t="shared" si="10"/>
        <v>0</v>
      </c>
      <c r="G83" s="246">
        <f t="shared" si="11"/>
        <v>0</v>
      </c>
      <c r="H83" s="246">
        <f t="shared" si="12"/>
        <v>0</v>
      </c>
    </row>
    <row r="84" spans="1:12">
      <c r="A84" s="73">
        <f t="shared" si="5"/>
        <v>0</v>
      </c>
      <c r="B84" s="246">
        <f t="shared" si="6"/>
        <v>0</v>
      </c>
      <c r="C84" s="246">
        <f t="shared" ref="C84:H89" si="13">C27*$B$63</f>
        <v>0</v>
      </c>
      <c r="D84" s="246">
        <f t="shared" si="13"/>
        <v>0</v>
      </c>
      <c r="E84" s="246">
        <f t="shared" si="13"/>
        <v>0</v>
      </c>
      <c r="F84" s="246">
        <f t="shared" si="13"/>
        <v>0</v>
      </c>
      <c r="G84" s="246">
        <f t="shared" si="13"/>
        <v>0</v>
      </c>
      <c r="H84" s="246">
        <f t="shared" si="13"/>
        <v>0</v>
      </c>
    </row>
    <row r="85" spans="1:12">
      <c r="A85" s="73" t="str">
        <f t="shared" si="5"/>
        <v>Groundnut</v>
      </c>
      <c r="B85" s="246">
        <f t="shared" si="6"/>
        <v>0</v>
      </c>
      <c r="C85" s="246">
        <f t="shared" si="13"/>
        <v>0</v>
      </c>
      <c r="D85" s="246">
        <f t="shared" si="13"/>
        <v>0</v>
      </c>
      <c r="E85" s="246">
        <f t="shared" si="13"/>
        <v>0</v>
      </c>
      <c r="F85" s="246">
        <f t="shared" si="13"/>
        <v>0</v>
      </c>
      <c r="G85" s="246">
        <f t="shared" si="13"/>
        <v>0</v>
      </c>
      <c r="H85" s="246">
        <f t="shared" si="13"/>
        <v>0</v>
      </c>
    </row>
    <row r="86" spans="1:12">
      <c r="A86" s="73">
        <f t="shared" si="5"/>
        <v>0</v>
      </c>
      <c r="B86" s="246">
        <f t="shared" si="6"/>
        <v>0</v>
      </c>
      <c r="C86" s="246">
        <f t="shared" si="13"/>
        <v>0</v>
      </c>
      <c r="D86" s="246">
        <f t="shared" si="13"/>
        <v>0</v>
      </c>
      <c r="E86" s="246">
        <f t="shared" si="13"/>
        <v>0</v>
      </c>
      <c r="F86" s="246">
        <f t="shared" si="13"/>
        <v>0</v>
      </c>
      <c r="G86" s="246">
        <f t="shared" si="13"/>
        <v>0</v>
      </c>
      <c r="H86" s="246">
        <f t="shared" si="13"/>
        <v>0</v>
      </c>
    </row>
    <row r="87" spans="1:12">
      <c r="A87" s="73">
        <f t="shared" si="5"/>
        <v>0</v>
      </c>
      <c r="B87" s="246">
        <f t="shared" si="6"/>
        <v>0</v>
      </c>
      <c r="C87" s="246">
        <f t="shared" si="13"/>
        <v>0</v>
      </c>
      <c r="D87" s="246">
        <f t="shared" si="13"/>
        <v>0</v>
      </c>
      <c r="E87" s="246">
        <f t="shared" si="13"/>
        <v>0</v>
      </c>
      <c r="F87" s="246">
        <f t="shared" si="13"/>
        <v>0</v>
      </c>
      <c r="G87" s="246">
        <f t="shared" si="13"/>
        <v>0</v>
      </c>
      <c r="H87" s="246">
        <f t="shared" si="13"/>
        <v>0</v>
      </c>
    </row>
    <row r="88" spans="1:12">
      <c r="A88" s="73">
        <f t="shared" si="5"/>
        <v>0</v>
      </c>
      <c r="B88" s="246">
        <f t="shared" si="6"/>
        <v>0</v>
      </c>
      <c r="C88" s="246">
        <f t="shared" si="13"/>
        <v>0</v>
      </c>
      <c r="D88" s="246">
        <f t="shared" si="13"/>
        <v>0</v>
      </c>
      <c r="E88" s="246">
        <f t="shared" si="13"/>
        <v>0</v>
      </c>
      <c r="F88" s="246">
        <f t="shared" si="13"/>
        <v>0</v>
      </c>
      <c r="G88" s="246">
        <f t="shared" si="13"/>
        <v>0</v>
      </c>
      <c r="H88" s="246">
        <f t="shared" si="13"/>
        <v>0</v>
      </c>
    </row>
    <row r="89" spans="1:12">
      <c r="A89" s="73">
        <f t="shared" si="5"/>
        <v>0</v>
      </c>
      <c r="B89" s="246">
        <f t="shared" si="6"/>
        <v>0</v>
      </c>
      <c r="C89" s="246">
        <f t="shared" si="13"/>
        <v>0</v>
      </c>
      <c r="D89" s="246">
        <f t="shared" si="13"/>
        <v>0</v>
      </c>
      <c r="E89" s="246">
        <f t="shared" si="13"/>
        <v>0</v>
      </c>
      <c r="F89" s="246">
        <f t="shared" si="13"/>
        <v>0</v>
      </c>
      <c r="G89" s="246">
        <f t="shared" si="13"/>
        <v>0</v>
      </c>
      <c r="H89" s="246">
        <f t="shared" si="13"/>
        <v>0</v>
      </c>
    </row>
    <row r="90" spans="1:12">
      <c r="A90" s="73"/>
      <c r="B90" s="246"/>
      <c r="C90" s="246"/>
      <c r="D90" s="246"/>
      <c r="E90" s="246"/>
      <c r="F90" s="246"/>
      <c r="G90" s="246"/>
      <c r="H90" s="246"/>
      <c r="J90" s="13"/>
      <c r="K90" s="13"/>
      <c r="L90" s="13"/>
    </row>
    <row r="91" spans="1:12">
      <c r="A91" s="73" t="str">
        <f t="shared" ref="A91:A109" si="14">A34</f>
        <v>Fruit  &amp; Vegetables Crop Production Details</v>
      </c>
      <c r="B91" s="246"/>
      <c r="C91" s="246"/>
      <c r="D91" s="246"/>
      <c r="E91" s="246"/>
      <c r="F91" s="246"/>
      <c r="G91" s="246"/>
      <c r="H91" s="246"/>
      <c r="J91" s="13"/>
      <c r="K91" s="13"/>
      <c r="L91" s="13"/>
    </row>
    <row r="92" spans="1:12">
      <c r="A92" s="73" t="str">
        <f t="shared" si="14"/>
        <v>Onion</v>
      </c>
      <c r="B92" s="246">
        <f t="shared" ref="B92:H101" si="15">B35</f>
        <v>0</v>
      </c>
      <c r="C92" s="246">
        <f t="shared" si="15"/>
        <v>0</v>
      </c>
      <c r="D92" s="246">
        <f t="shared" si="15"/>
        <v>0</v>
      </c>
      <c r="E92" s="246">
        <f t="shared" si="15"/>
        <v>0</v>
      </c>
      <c r="F92" s="246">
        <f t="shared" si="15"/>
        <v>0</v>
      </c>
      <c r="G92" s="246">
        <f t="shared" si="15"/>
        <v>0</v>
      </c>
      <c r="H92" s="246">
        <f t="shared" si="15"/>
        <v>0</v>
      </c>
      <c r="J92" s="13"/>
      <c r="K92" s="13"/>
      <c r="L92" s="13"/>
    </row>
    <row r="93" spans="1:12">
      <c r="A93" s="73" t="str">
        <f t="shared" si="14"/>
        <v>Tomato</v>
      </c>
      <c r="B93" s="246">
        <f t="shared" si="15"/>
        <v>0</v>
      </c>
      <c r="C93" s="246">
        <f t="shared" si="15"/>
        <v>0</v>
      </c>
      <c r="D93" s="246">
        <f t="shared" si="15"/>
        <v>0</v>
      </c>
      <c r="E93" s="246">
        <f t="shared" si="15"/>
        <v>0</v>
      </c>
      <c r="F93" s="246">
        <f t="shared" si="15"/>
        <v>0</v>
      </c>
      <c r="G93" s="246">
        <f t="shared" si="15"/>
        <v>0</v>
      </c>
      <c r="H93" s="246">
        <f t="shared" si="15"/>
        <v>0</v>
      </c>
      <c r="J93" s="13"/>
      <c r="K93" s="13"/>
      <c r="L93" s="13"/>
    </row>
    <row r="94" spans="1:12">
      <c r="A94" s="73" t="str">
        <f t="shared" si="14"/>
        <v>Okra</v>
      </c>
      <c r="B94" s="246">
        <f t="shared" si="15"/>
        <v>0</v>
      </c>
      <c r="C94" s="246">
        <f t="shared" si="15"/>
        <v>0</v>
      </c>
      <c r="D94" s="246">
        <f t="shared" si="15"/>
        <v>0</v>
      </c>
      <c r="E94" s="246">
        <f t="shared" si="15"/>
        <v>0</v>
      </c>
      <c r="F94" s="246">
        <f t="shared" si="15"/>
        <v>0</v>
      </c>
      <c r="G94" s="246">
        <f t="shared" si="15"/>
        <v>0</v>
      </c>
      <c r="H94" s="246">
        <f t="shared" si="15"/>
        <v>0</v>
      </c>
      <c r="J94" s="13"/>
      <c r="K94" s="13"/>
      <c r="L94" s="13"/>
    </row>
    <row r="95" spans="1:12">
      <c r="A95" s="73" t="str">
        <f t="shared" si="14"/>
        <v>Chilli</v>
      </c>
      <c r="B95" s="246">
        <f t="shared" si="15"/>
        <v>0</v>
      </c>
      <c r="C95" s="246">
        <f t="shared" si="15"/>
        <v>0</v>
      </c>
      <c r="D95" s="246">
        <f t="shared" si="15"/>
        <v>0</v>
      </c>
      <c r="E95" s="246">
        <f t="shared" si="15"/>
        <v>0</v>
      </c>
      <c r="F95" s="246">
        <f t="shared" si="15"/>
        <v>0</v>
      </c>
      <c r="G95" s="246">
        <f t="shared" si="15"/>
        <v>0</v>
      </c>
      <c r="H95" s="246">
        <f t="shared" si="15"/>
        <v>0</v>
      </c>
      <c r="J95" s="13"/>
      <c r="K95" s="13"/>
      <c r="L95" s="13"/>
    </row>
    <row r="96" spans="1:12">
      <c r="A96" s="73" t="str">
        <f t="shared" si="14"/>
        <v>Potato</v>
      </c>
      <c r="B96" s="246">
        <f t="shared" si="15"/>
        <v>0</v>
      </c>
      <c r="C96" s="246">
        <f t="shared" si="15"/>
        <v>0</v>
      </c>
      <c r="D96" s="246">
        <f t="shared" si="15"/>
        <v>0</v>
      </c>
      <c r="E96" s="246">
        <f t="shared" si="15"/>
        <v>0</v>
      </c>
      <c r="F96" s="246">
        <f t="shared" si="15"/>
        <v>0</v>
      </c>
      <c r="G96" s="246">
        <f t="shared" si="15"/>
        <v>0</v>
      </c>
      <c r="H96" s="246">
        <f t="shared" si="15"/>
        <v>0</v>
      </c>
      <c r="J96" s="13"/>
      <c r="K96" s="13"/>
      <c r="L96" s="13"/>
    </row>
    <row r="97" spans="1:12">
      <c r="A97" s="73">
        <f t="shared" si="14"/>
        <v>0</v>
      </c>
      <c r="B97" s="246">
        <f t="shared" si="15"/>
        <v>0</v>
      </c>
      <c r="C97" s="246">
        <f t="shared" si="15"/>
        <v>0</v>
      </c>
      <c r="D97" s="246">
        <f t="shared" si="15"/>
        <v>0</v>
      </c>
      <c r="E97" s="246">
        <f t="shared" si="15"/>
        <v>0</v>
      </c>
      <c r="F97" s="246">
        <f t="shared" si="15"/>
        <v>0</v>
      </c>
      <c r="G97" s="246">
        <f t="shared" si="15"/>
        <v>0</v>
      </c>
      <c r="H97" s="246">
        <f t="shared" si="15"/>
        <v>0</v>
      </c>
      <c r="J97" s="13"/>
      <c r="K97" s="13"/>
      <c r="L97" s="13"/>
    </row>
    <row r="98" spans="1:12">
      <c r="A98" s="73">
        <f t="shared" si="14"/>
        <v>0</v>
      </c>
      <c r="B98" s="246">
        <f t="shared" si="15"/>
        <v>0</v>
      </c>
      <c r="C98" s="246">
        <f t="shared" si="15"/>
        <v>0</v>
      </c>
      <c r="D98" s="246">
        <f t="shared" si="15"/>
        <v>0</v>
      </c>
      <c r="E98" s="246">
        <f t="shared" si="15"/>
        <v>0</v>
      </c>
      <c r="F98" s="246">
        <f t="shared" si="15"/>
        <v>0</v>
      </c>
      <c r="G98" s="246">
        <f t="shared" si="15"/>
        <v>0</v>
      </c>
      <c r="H98" s="246">
        <f t="shared" si="15"/>
        <v>0</v>
      </c>
      <c r="J98" s="13"/>
      <c r="K98" s="13"/>
      <c r="L98" s="13"/>
    </row>
    <row r="99" spans="1:12">
      <c r="A99" s="73">
        <f t="shared" si="14"/>
        <v>0</v>
      </c>
      <c r="B99" s="246">
        <f t="shared" si="15"/>
        <v>0</v>
      </c>
      <c r="C99" s="246">
        <f t="shared" si="15"/>
        <v>0</v>
      </c>
      <c r="D99" s="246">
        <f t="shared" si="15"/>
        <v>0</v>
      </c>
      <c r="E99" s="246">
        <f t="shared" si="15"/>
        <v>0</v>
      </c>
      <c r="F99" s="246">
        <f t="shared" si="15"/>
        <v>0</v>
      </c>
      <c r="G99" s="246">
        <f t="shared" si="15"/>
        <v>0</v>
      </c>
      <c r="H99" s="246">
        <f t="shared" si="15"/>
        <v>0</v>
      </c>
      <c r="J99" s="13"/>
      <c r="K99" s="13"/>
      <c r="L99" s="13"/>
    </row>
    <row r="100" spans="1:12">
      <c r="A100" s="73">
        <f t="shared" si="14"/>
        <v>0</v>
      </c>
      <c r="B100" s="246">
        <f t="shared" si="15"/>
        <v>0</v>
      </c>
      <c r="C100" s="246">
        <f t="shared" si="15"/>
        <v>0</v>
      </c>
      <c r="D100" s="246">
        <f t="shared" si="15"/>
        <v>0</v>
      </c>
      <c r="E100" s="246">
        <f t="shared" si="15"/>
        <v>0</v>
      </c>
      <c r="F100" s="246">
        <f t="shared" si="15"/>
        <v>0</v>
      </c>
      <c r="G100" s="246">
        <f t="shared" si="15"/>
        <v>0</v>
      </c>
      <c r="H100" s="246">
        <f t="shared" si="15"/>
        <v>0</v>
      </c>
      <c r="J100" s="13"/>
      <c r="K100" s="13"/>
      <c r="L100" s="13"/>
    </row>
    <row r="101" spans="1:12">
      <c r="A101" s="73" t="str">
        <f t="shared" si="14"/>
        <v>Onion</v>
      </c>
      <c r="B101" s="246">
        <f t="shared" si="15"/>
        <v>0</v>
      </c>
      <c r="C101" s="246">
        <f t="shared" si="15"/>
        <v>0</v>
      </c>
      <c r="D101" s="246">
        <f t="shared" si="15"/>
        <v>0</v>
      </c>
      <c r="E101" s="246">
        <f t="shared" si="15"/>
        <v>0</v>
      </c>
      <c r="F101" s="246">
        <f t="shared" si="15"/>
        <v>0</v>
      </c>
      <c r="G101" s="246">
        <f t="shared" si="15"/>
        <v>0</v>
      </c>
      <c r="H101" s="246">
        <f t="shared" si="15"/>
        <v>0</v>
      </c>
      <c r="J101" s="13"/>
      <c r="K101" s="13"/>
      <c r="L101" s="13"/>
    </row>
    <row r="102" spans="1:12">
      <c r="A102" s="73" t="str">
        <f t="shared" si="14"/>
        <v>Tomato</v>
      </c>
      <c r="B102" s="246">
        <f t="shared" ref="B102:H109" si="16">B45</f>
        <v>0</v>
      </c>
      <c r="C102" s="246">
        <f t="shared" si="16"/>
        <v>0</v>
      </c>
      <c r="D102" s="246">
        <f t="shared" si="16"/>
        <v>0</v>
      </c>
      <c r="E102" s="246">
        <f t="shared" si="16"/>
        <v>0</v>
      </c>
      <c r="F102" s="246">
        <f t="shared" si="16"/>
        <v>0</v>
      </c>
      <c r="G102" s="246">
        <f t="shared" si="16"/>
        <v>0</v>
      </c>
      <c r="H102" s="246">
        <f t="shared" si="16"/>
        <v>0</v>
      </c>
      <c r="J102" s="13"/>
      <c r="K102" s="13"/>
      <c r="L102" s="13"/>
    </row>
    <row r="103" spans="1:12">
      <c r="A103" s="73" t="str">
        <f t="shared" si="14"/>
        <v>Okra</v>
      </c>
      <c r="B103" s="246">
        <f t="shared" si="16"/>
        <v>0</v>
      </c>
      <c r="C103" s="246">
        <f t="shared" si="16"/>
        <v>0</v>
      </c>
      <c r="D103" s="246">
        <f t="shared" si="16"/>
        <v>0</v>
      </c>
      <c r="E103" s="246">
        <f t="shared" si="16"/>
        <v>0</v>
      </c>
      <c r="F103" s="246">
        <f t="shared" si="16"/>
        <v>0</v>
      </c>
      <c r="G103" s="246">
        <f t="shared" si="16"/>
        <v>0</v>
      </c>
      <c r="H103" s="246">
        <f t="shared" si="16"/>
        <v>0</v>
      </c>
      <c r="J103" s="13"/>
      <c r="K103" s="13"/>
      <c r="L103" s="13"/>
    </row>
    <row r="104" spans="1:12">
      <c r="A104" s="73" t="str">
        <f t="shared" si="14"/>
        <v>Chilli</v>
      </c>
      <c r="B104" s="246">
        <f t="shared" si="16"/>
        <v>0</v>
      </c>
      <c r="C104" s="246">
        <f t="shared" si="16"/>
        <v>0</v>
      </c>
      <c r="D104" s="246">
        <f t="shared" si="16"/>
        <v>0</v>
      </c>
      <c r="E104" s="246">
        <f t="shared" si="16"/>
        <v>0</v>
      </c>
      <c r="F104" s="246">
        <f t="shared" si="16"/>
        <v>0</v>
      </c>
      <c r="G104" s="246">
        <f t="shared" si="16"/>
        <v>0</v>
      </c>
      <c r="H104" s="246">
        <f t="shared" si="16"/>
        <v>0</v>
      </c>
      <c r="J104" s="13"/>
      <c r="K104" s="13"/>
      <c r="L104" s="13"/>
    </row>
    <row r="105" spans="1:12">
      <c r="A105" s="73" t="str">
        <f t="shared" si="14"/>
        <v>Brinjal</v>
      </c>
      <c r="B105" s="246">
        <f t="shared" si="16"/>
        <v>0</v>
      </c>
      <c r="C105" s="246">
        <f t="shared" si="16"/>
        <v>0</v>
      </c>
      <c r="D105" s="246">
        <f t="shared" si="16"/>
        <v>0</v>
      </c>
      <c r="E105" s="246">
        <f t="shared" si="16"/>
        <v>0</v>
      </c>
      <c r="F105" s="246">
        <f t="shared" si="16"/>
        <v>0</v>
      </c>
      <c r="G105" s="246">
        <f t="shared" si="16"/>
        <v>0</v>
      </c>
      <c r="H105" s="246">
        <f t="shared" si="16"/>
        <v>0</v>
      </c>
      <c r="J105" s="13"/>
      <c r="K105" s="13"/>
      <c r="L105" s="13"/>
    </row>
    <row r="106" spans="1:12">
      <c r="A106" s="73">
        <f t="shared" si="14"/>
        <v>0</v>
      </c>
      <c r="B106" s="246">
        <f t="shared" si="16"/>
        <v>0</v>
      </c>
      <c r="C106" s="246">
        <f t="shared" si="16"/>
        <v>0</v>
      </c>
      <c r="D106" s="246">
        <f t="shared" si="16"/>
        <v>0</v>
      </c>
      <c r="E106" s="246">
        <f t="shared" si="16"/>
        <v>0</v>
      </c>
      <c r="F106" s="246">
        <f t="shared" si="16"/>
        <v>0</v>
      </c>
      <c r="G106" s="246">
        <f t="shared" si="16"/>
        <v>0</v>
      </c>
      <c r="H106" s="246">
        <f t="shared" si="16"/>
        <v>0</v>
      </c>
      <c r="J106" s="13"/>
      <c r="K106" s="13"/>
      <c r="L106" s="13"/>
    </row>
    <row r="107" spans="1:12">
      <c r="A107" s="73">
        <f t="shared" si="14"/>
        <v>0</v>
      </c>
      <c r="B107" s="246">
        <f t="shared" si="16"/>
        <v>0</v>
      </c>
      <c r="C107" s="246">
        <f t="shared" si="16"/>
        <v>0</v>
      </c>
      <c r="D107" s="246">
        <f t="shared" si="16"/>
        <v>0</v>
      </c>
      <c r="E107" s="246">
        <f t="shared" si="16"/>
        <v>0</v>
      </c>
      <c r="F107" s="246">
        <f t="shared" si="16"/>
        <v>0</v>
      </c>
      <c r="G107" s="246">
        <f t="shared" si="16"/>
        <v>0</v>
      </c>
      <c r="H107" s="246">
        <f t="shared" si="16"/>
        <v>0</v>
      </c>
      <c r="J107" s="13"/>
      <c r="K107" s="13"/>
      <c r="L107" s="13"/>
    </row>
    <row r="108" spans="1:12">
      <c r="A108" s="73">
        <f t="shared" si="14"/>
        <v>0</v>
      </c>
      <c r="B108" s="246">
        <f t="shared" si="16"/>
        <v>0</v>
      </c>
      <c r="C108" s="246">
        <f t="shared" si="16"/>
        <v>0</v>
      </c>
      <c r="D108" s="246">
        <f t="shared" si="16"/>
        <v>0</v>
      </c>
      <c r="E108" s="246">
        <f t="shared" si="16"/>
        <v>0</v>
      </c>
      <c r="F108" s="246">
        <f t="shared" si="16"/>
        <v>0</v>
      </c>
      <c r="G108" s="246">
        <f t="shared" si="16"/>
        <v>0</v>
      </c>
      <c r="H108" s="246">
        <f t="shared" si="16"/>
        <v>0</v>
      </c>
      <c r="J108" s="13"/>
      <c r="K108" s="13"/>
      <c r="L108" s="13"/>
    </row>
    <row r="109" spans="1:12">
      <c r="A109" s="73">
        <f t="shared" si="14"/>
        <v>0</v>
      </c>
      <c r="B109" s="246">
        <f t="shared" si="16"/>
        <v>0</v>
      </c>
      <c r="C109" s="246">
        <f t="shared" si="16"/>
        <v>0</v>
      </c>
      <c r="D109" s="246">
        <f t="shared" si="16"/>
        <v>0</v>
      </c>
      <c r="E109" s="246">
        <f t="shared" si="16"/>
        <v>0</v>
      </c>
      <c r="F109" s="246">
        <f t="shared" si="16"/>
        <v>0</v>
      </c>
      <c r="G109" s="246">
        <f t="shared" si="16"/>
        <v>0</v>
      </c>
      <c r="H109" s="246">
        <f t="shared" si="16"/>
        <v>0</v>
      </c>
      <c r="J109" s="13"/>
      <c r="K109" s="13"/>
      <c r="L109" s="13"/>
    </row>
    <row r="110" spans="1:12">
      <c r="A110" s="73">
        <f t="shared" ref="A110:A113" si="17">A53</f>
        <v>0</v>
      </c>
      <c r="B110" s="246"/>
      <c r="C110" s="246"/>
      <c r="D110" s="246"/>
      <c r="E110" s="246"/>
      <c r="F110" s="246"/>
      <c r="G110" s="246"/>
      <c r="H110" s="246"/>
      <c r="J110" s="13"/>
      <c r="K110" s="13"/>
      <c r="L110" s="13"/>
    </row>
    <row r="111" spans="1:12">
      <c r="A111" s="73">
        <f t="shared" si="17"/>
        <v>0</v>
      </c>
      <c r="B111" s="246"/>
      <c r="C111" s="246"/>
      <c r="D111" s="246"/>
      <c r="E111" s="246"/>
      <c r="F111" s="246"/>
      <c r="G111" s="246"/>
      <c r="H111" s="246"/>
      <c r="J111" s="13"/>
      <c r="K111" s="13"/>
      <c r="L111" s="13"/>
    </row>
    <row r="112" spans="1:12">
      <c r="A112" s="73">
        <f t="shared" si="17"/>
        <v>0</v>
      </c>
      <c r="B112" s="246"/>
      <c r="C112" s="246"/>
      <c r="D112" s="246"/>
      <c r="E112" s="246"/>
      <c r="F112" s="246"/>
      <c r="G112" s="246"/>
      <c r="H112" s="246"/>
      <c r="J112" s="13"/>
      <c r="K112" s="13"/>
      <c r="L112" s="13"/>
    </row>
    <row r="113" spans="1:12">
      <c r="A113" s="73" t="str">
        <f t="shared" si="17"/>
        <v>Pomegranate</v>
      </c>
      <c r="B113" s="246">
        <f t="shared" ref="B113:H116" si="18">B56</f>
        <v>0</v>
      </c>
      <c r="C113" s="246">
        <f t="shared" si="18"/>
        <v>0</v>
      </c>
      <c r="D113" s="246">
        <f t="shared" si="18"/>
        <v>0</v>
      </c>
      <c r="E113" s="246">
        <f t="shared" si="18"/>
        <v>0</v>
      </c>
      <c r="F113" s="246">
        <f t="shared" si="18"/>
        <v>0</v>
      </c>
      <c r="G113" s="246">
        <f t="shared" si="18"/>
        <v>0</v>
      </c>
      <c r="H113" s="246">
        <f t="shared" si="18"/>
        <v>0</v>
      </c>
      <c r="J113" s="13"/>
      <c r="K113" s="13"/>
      <c r="L113" s="13"/>
    </row>
    <row r="114" spans="1:12">
      <c r="A114" s="73" t="str">
        <f>A57</f>
        <v>Custard Apple</v>
      </c>
      <c r="B114" s="246">
        <f t="shared" si="18"/>
        <v>0</v>
      </c>
      <c r="C114" s="246">
        <f t="shared" si="18"/>
        <v>0</v>
      </c>
      <c r="D114" s="246">
        <f t="shared" si="18"/>
        <v>0</v>
      </c>
      <c r="E114" s="246">
        <f t="shared" si="18"/>
        <v>0</v>
      </c>
      <c r="F114" s="246">
        <f t="shared" si="18"/>
        <v>0</v>
      </c>
      <c r="G114" s="246">
        <f t="shared" si="18"/>
        <v>0</v>
      </c>
      <c r="H114" s="246">
        <f t="shared" si="18"/>
        <v>0</v>
      </c>
      <c r="J114" s="13"/>
      <c r="K114" s="13"/>
      <c r="L114" s="13"/>
    </row>
    <row r="115" spans="1:12">
      <c r="A115" s="73" t="str">
        <f>A58</f>
        <v>Guava</v>
      </c>
      <c r="B115" s="246">
        <f t="shared" si="18"/>
        <v>0</v>
      </c>
      <c r="C115" s="246">
        <f t="shared" si="18"/>
        <v>0</v>
      </c>
      <c r="D115" s="246">
        <f t="shared" si="18"/>
        <v>0</v>
      </c>
      <c r="E115" s="246">
        <f t="shared" si="18"/>
        <v>0</v>
      </c>
      <c r="F115" s="246">
        <f t="shared" si="18"/>
        <v>0</v>
      </c>
      <c r="G115" s="246">
        <f t="shared" si="18"/>
        <v>0</v>
      </c>
      <c r="H115" s="246">
        <f t="shared" si="18"/>
        <v>0</v>
      </c>
      <c r="J115" s="13"/>
      <c r="K115" s="13"/>
      <c r="L115" s="13"/>
    </row>
    <row r="116" spans="1:12">
      <c r="A116" s="73" t="str">
        <f>A59</f>
        <v>Citrus</v>
      </c>
      <c r="B116" s="246">
        <f t="shared" si="18"/>
        <v>0</v>
      </c>
      <c r="C116" s="246">
        <f t="shared" si="18"/>
        <v>0</v>
      </c>
      <c r="D116" s="246">
        <f t="shared" si="18"/>
        <v>0</v>
      </c>
      <c r="E116" s="246">
        <f t="shared" si="18"/>
        <v>0</v>
      </c>
      <c r="F116" s="246">
        <f t="shared" si="18"/>
        <v>0</v>
      </c>
      <c r="G116" s="246">
        <f t="shared" si="18"/>
        <v>0</v>
      </c>
      <c r="H116" s="246">
        <f t="shared" si="18"/>
        <v>0</v>
      </c>
      <c r="J116" s="13"/>
      <c r="K116" s="13"/>
      <c r="L116" s="13"/>
    </row>
    <row r="117" spans="1:12">
      <c r="A117" s="73"/>
      <c r="B117" s="246"/>
      <c r="C117" s="246"/>
      <c r="D117" s="246"/>
      <c r="E117" s="246"/>
      <c r="F117" s="246"/>
      <c r="G117" s="246"/>
      <c r="H117" s="246"/>
      <c r="J117" s="13"/>
      <c r="K117" s="13"/>
      <c r="L117" s="13"/>
    </row>
    <row r="118" spans="1:12">
      <c r="A118" s="73"/>
      <c r="B118" s="246"/>
      <c r="C118" s="246"/>
      <c r="D118" s="246"/>
      <c r="E118" s="246"/>
      <c r="F118" s="246"/>
      <c r="G118" s="246"/>
      <c r="H118" s="246"/>
      <c r="J118" s="13"/>
      <c r="K118" s="13"/>
      <c r="L118" s="13"/>
    </row>
    <row r="119" spans="1:12">
      <c r="A119" s="75" t="s">
        <v>140</v>
      </c>
      <c r="B119" s="73"/>
      <c r="C119" s="73"/>
      <c r="D119" s="73"/>
      <c r="E119" s="73"/>
      <c r="F119" s="73"/>
      <c r="G119" s="73"/>
      <c r="H119" s="73"/>
    </row>
    <row r="120" spans="1:12">
      <c r="A120" s="73" t="str">
        <f t="shared" ref="A120:A141" si="19">A68</f>
        <v>Soybean</v>
      </c>
      <c r="B120" s="161">
        <f t="shared" ref="B120:H129" si="20">B68-(B68*$G$6)</f>
        <v>0</v>
      </c>
      <c r="C120" s="161">
        <f t="shared" si="20"/>
        <v>0</v>
      </c>
      <c r="D120" s="161">
        <f t="shared" si="20"/>
        <v>0</v>
      </c>
      <c r="E120" s="161">
        <f t="shared" si="20"/>
        <v>0</v>
      </c>
      <c r="F120" s="161">
        <f t="shared" si="20"/>
        <v>0</v>
      </c>
      <c r="G120" s="161">
        <f t="shared" si="20"/>
        <v>0</v>
      </c>
      <c r="H120" s="161">
        <f t="shared" si="20"/>
        <v>0</v>
      </c>
    </row>
    <row r="121" spans="1:12">
      <c r="A121" s="73" t="str">
        <f t="shared" si="19"/>
        <v>Red Gram/Tur</v>
      </c>
      <c r="B121" s="161">
        <f t="shared" si="20"/>
        <v>0</v>
      </c>
      <c r="C121" s="161">
        <f t="shared" si="20"/>
        <v>0</v>
      </c>
      <c r="D121" s="161">
        <f t="shared" si="20"/>
        <v>0</v>
      </c>
      <c r="E121" s="161">
        <f t="shared" si="20"/>
        <v>0</v>
      </c>
      <c r="F121" s="161">
        <f t="shared" si="20"/>
        <v>0</v>
      </c>
      <c r="G121" s="161">
        <f t="shared" si="20"/>
        <v>0</v>
      </c>
      <c r="H121" s="161">
        <f t="shared" si="20"/>
        <v>0</v>
      </c>
    </row>
    <row r="122" spans="1:12">
      <c r="A122" s="73" t="str">
        <f t="shared" si="19"/>
        <v>Paddy/Rice</v>
      </c>
      <c r="B122" s="161">
        <f t="shared" si="20"/>
        <v>0</v>
      </c>
      <c r="C122" s="161">
        <f t="shared" si="20"/>
        <v>0</v>
      </c>
      <c r="D122" s="161">
        <f t="shared" si="20"/>
        <v>0</v>
      </c>
      <c r="E122" s="161">
        <f t="shared" si="20"/>
        <v>0</v>
      </c>
      <c r="F122" s="161">
        <f t="shared" si="20"/>
        <v>0</v>
      </c>
      <c r="G122" s="161">
        <f t="shared" si="20"/>
        <v>0</v>
      </c>
      <c r="H122" s="161">
        <f t="shared" si="20"/>
        <v>0</v>
      </c>
    </row>
    <row r="123" spans="1:12">
      <c r="A123" s="73" t="str">
        <f t="shared" si="19"/>
        <v>Green Gram/ Moong</v>
      </c>
      <c r="B123" s="161">
        <f t="shared" si="20"/>
        <v>0</v>
      </c>
      <c r="C123" s="161">
        <f t="shared" si="20"/>
        <v>0</v>
      </c>
      <c r="D123" s="161">
        <f t="shared" si="20"/>
        <v>0</v>
      </c>
      <c r="E123" s="161">
        <f t="shared" si="20"/>
        <v>0</v>
      </c>
      <c r="F123" s="161">
        <f t="shared" si="20"/>
        <v>0</v>
      </c>
      <c r="G123" s="161">
        <f t="shared" si="20"/>
        <v>0</v>
      </c>
      <c r="H123" s="161">
        <f t="shared" si="20"/>
        <v>0</v>
      </c>
    </row>
    <row r="124" spans="1:12">
      <c r="A124" s="73" t="str">
        <f t="shared" si="19"/>
        <v>Maize</v>
      </c>
      <c r="B124" s="161">
        <f t="shared" si="20"/>
        <v>0</v>
      </c>
      <c r="C124" s="161">
        <f t="shared" si="20"/>
        <v>0</v>
      </c>
      <c r="D124" s="161">
        <f t="shared" si="20"/>
        <v>0</v>
      </c>
      <c r="E124" s="161">
        <f t="shared" si="20"/>
        <v>0</v>
      </c>
      <c r="F124" s="161">
        <f t="shared" si="20"/>
        <v>0</v>
      </c>
      <c r="G124" s="161">
        <f t="shared" si="20"/>
        <v>0</v>
      </c>
      <c r="H124" s="161">
        <f t="shared" si="20"/>
        <v>0</v>
      </c>
    </row>
    <row r="125" spans="1:12">
      <c r="A125" s="73" t="str">
        <f t="shared" si="19"/>
        <v>Black Gram/Udid</v>
      </c>
      <c r="B125" s="161">
        <f t="shared" si="20"/>
        <v>0</v>
      </c>
      <c r="C125" s="161">
        <f t="shared" si="20"/>
        <v>0</v>
      </c>
      <c r="D125" s="161">
        <f t="shared" si="20"/>
        <v>0</v>
      </c>
      <c r="E125" s="161">
        <f t="shared" si="20"/>
        <v>0</v>
      </c>
      <c r="F125" s="161">
        <f t="shared" si="20"/>
        <v>0</v>
      </c>
      <c r="G125" s="161">
        <f t="shared" si="20"/>
        <v>0</v>
      </c>
      <c r="H125" s="161">
        <f t="shared" si="20"/>
        <v>0</v>
      </c>
    </row>
    <row r="126" spans="1:12">
      <c r="A126" s="73" t="str">
        <f t="shared" si="19"/>
        <v>Bajra</v>
      </c>
      <c r="B126" s="161">
        <f t="shared" si="20"/>
        <v>0</v>
      </c>
      <c r="C126" s="161">
        <f t="shared" si="20"/>
        <v>0</v>
      </c>
      <c r="D126" s="161">
        <f t="shared" si="20"/>
        <v>0</v>
      </c>
      <c r="E126" s="161">
        <f t="shared" si="20"/>
        <v>0</v>
      </c>
      <c r="F126" s="161">
        <f t="shared" si="20"/>
        <v>0</v>
      </c>
      <c r="G126" s="161">
        <f t="shared" si="20"/>
        <v>0</v>
      </c>
      <c r="H126" s="161">
        <f t="shared" si="20"/>
        <v>0</v>
      </c>
    </row>
    <row r="127" spans="1:12">
      <c r="A127" s="73" t="str">
        <f t="shared" si="19"/>
        <v>Jawar</v>
      </c>
      <c r="B127" s="161">
        <f t="shared" si="20"/>
        <v>0</v>
      </c>
      <c r="C127" s="161">
        <f t="shared" si="20"/>
        <v>0</v>
      </c>
      <c r="D127" s="161">
        <f t="shared" si="20"/>
        <v>0</v>
      </c>
      <c r="E127" s="161">
        <f t="shared" si="20"/>
        <v>0</v>
      </c>
      <c r="F127" s="161">
        <f t="shared" si="20"/>
        <v>0</v>
      </c>
      <c r="G127" s="161">
        <f t="shared" si="20"/>
        <v>0</v>
      </c>
      <c r="H127" s="161">
        <f t="shared" si="20"/>
        <v>0</v>
      </c>
    </row>
    <row r="128" spans="1:12">
      <c r="A128" s="73" t="str">
        <f t="shared" si="19"/>
        <v>Sunflower</v>
      </c>
      <c r="B128" s="161">
        <f t="shared" si="20"/>
        <v>0</v>
      </c>
      <c r="C128" s="161">
        <f t="shared" si="20"/>
        <v>0</v>
      </c>
      <c r="D128" s="161">
        <f t="shared" si="20"/>
        <v>0</v>
      </c>
      <c r="E128" s="161">
        <f t="shared" si="20"/>
        <v>0</v>
      </c>
      <c r="F128" s="161">
        <f t="shared" si="20"/>
        <v>0</v>
      </c>
      <c r="G128" s="161">
        <f t="shared" si="20"/>
        <v>0</v>
      </c>
      <c r="H128" s="161">
        <f t="shared" si="20"/>
        <v>0</v>
      </c>
    </row>
    <row r="129" spans="1:8">
      <c r="A129" s="73" t="str">
        <f t="shared" si="19"/>
        <v>Wheat</v>
      </c>
      <c r="B129" s="161">
        <f t="shared" si="20"/>
        <v>0</v>
      </c>
      <c r="C129" s="161">
        <f t="shared" si="20"/>
        <v>0</v>
      </c>
      <c r="D129" s="161">
        <f t="shared" si="20"/>
        <v>0</v>
      </c>
      <c r="E129" s="161">
        <f t="shared" si="20"/>
        <v>0</v>
      </c>
      <c r="F129" s="161">
        <f t="shared" si="20"/>
        <v>0</v>
      </c>
      <c r="G129" s="161">
        <f t="shared" si="20"/>
        <v>0</v>
      </c>
      <c r="H129" s="161">
        <f t="shared" si="20"/>
        <v>0</v>
      </c>
    </row>
    <row r="130" spans="1:8">
      <c r="A130" s="73" t="str">
        <f t="shared" si="19"/>
        <v>Bengal Gram/Channa</v>
      </c>
      <c r="B130" s="161">
        <f t="shared" ref="B130:H139" si="21">B78-(B78*$G$6)</f>
        <v>0</v>
      </c>
      <c r="C130" s="161">
        <f t="shared" si="21"/>
        <v>0</v>
      </c>
      <c r="D130" s="161">
        <f t="shared" si="21"/>
        <v>0</v>
      </c>
      <c r="E130" s="161">
        <f t="shared" si="21"/>
        <v>0</v>
      </c>
      <c r="F130" s="161">
        <f t="shared" si="21"/>
        <v>0</v>
      </c>
      <c r="G130" s="161">
        <f t="shared" si="21"/>
        <v>0</v>
      </c>
      <c r="H130" s="161">
        <f t="shared" si="21"/>
        <v>0</v>
      </c>
    </row>
    <row r="131" spans="1:8">
      <c r="A131" s="73" t="str">
        <f t="shared" si="19"/>
        <v>Jawar</v>
      </c>
      <c r="B131" s="161">
        <f t="shared" si="21"/>
        <v>0</v>
      </c>
      <c r="C131" s="161">
        <f t="shared" si="21"/>
        <v>0</v>
      </c>
      <c r="D131" s="161">
        <f t="shared" si="21"/>
        <v>0</v>
      </c>
      <c r="E131" s="161">
        <f t="shared" si="21"/>
        <v>0</v>
      </c>
      <c r="F131" s="161">
        <f t="shared" si="21"/>
        <v>0</v>
      </c>
      <c r="G131" s="161">
        <f t="shared" si="21"/>
        <v>0</v>
      </c>
      <c r="H131" s="161">
        <f t="shared" si="21"/>
        <v>0</v>
      </c>
    </row>
    <row r="132" spans="1:8">
      <c r="A132" s="73" t="str">
        <f t="shared" si="19"/>
        <v>Maize</v>
      </c>
      <c r="B132" s="161">
        <f t="shared" si="21"/>
        <v>0</v>
      </c>
      <c r="C132" s="161">
        <f t="shared" si="21"/>
        <v>0</v>
      </c>
      <c r="D132" s="161">
        <f t="shared" si="21"/>
        <v>0</v>
      </c>
      <c r="E132" s="161">
        <f t="shared" si="21"/>
        <v>0</v>
      </c>
      <c r="F132" s="161">
        <f t="shared" si="21"/>
        <v>0</v>
      </c>
      <c r="G132" s="161">
        <f t="shared" si="21"/>
        <v>0</v>
      </c>
      <c r="H132" s="161">
        <f t="shared" si="21"/>
        <v>0</v>
      </c>
    </row>
    <row r="133" spans="1:8">
      <c r="A133" s="73" t="str">
        <f t="shared" si="19"/>
        <v>Safflower</v>
      </c>
      <c r="B133" s="161">
        <f t="shared" si="21"/>
        <v>0</v>
      </c>
      <c r="C133" s="161">
        <f t="shared" si="21"/>
        <v>0</v>
      </c>
      <c r="D133" s="161">
        <f t="shared" si="21"/>
        <v>0</v>
      </c>
      <c r="E133" s="161">
        <f t="shared" si="21"/>
        <v>0</v>
      </c>
      <c r="F133" s="161">
        <f t="shared" si="21"/>
        <v>0</v>
      </c>
      <c r="G133" s="161">
        <f t="shared" si="21"/>
        <v>0</v>
      </c>
      <c r="H133" s="161">
        <f t="shared" si="21"/>
        <v>0</v>
      </c>
    </row>
    <row r="134" spans="1:8">
      <c r="A134" s="73">
        <f t="shared" si="19"/>
        <v>0</v>
      </c>
      <c r="B134" s="161">
        <f t="shared" si="21"/>
        <v>0</v>
      </c>
      <c r="C134" s="161">
        <f t="shared" si="21"/>
        <v>0</v>
      </c>
      <c r="D134" s="161">
        <f t="shared" si="21"/>
        <v>0</v>
      </c>
      <c r="E134" s="161">
        <f t="shared" si="21"/>
        <v>0</v>
      </c>
      <c r="F134" s="161">
        <f t="shared" si="21"/>
        <v>0</v>
      </c>
      <c r="G134" s="161">
        <f t="shared" si="21"/>
        <v>0</v>
      </c>
      <c r="H134" s="161">
        <f t="shared" si="21"/>
        <v>0</v>
      </c>
    </row>
    <row r="135" spans="1:8">
      <c r="A135" s="73">
        <f t="shared" si="19"/>
        <v>0</v>
      </c>
      <c r="B135" s="161">
        <f t="shared" si="21"/>
        <v>0</v>
      </c>
      <c r="C135" s="161">
        <f t="shared" si="21"/>
        <v>0</v>
      </c>
      <c r="D135" s="161">
        <f t="shared" si="21"/>
        <v>0</v>
      </c>
      <c r="E135" s="161">
        <f t="shared" si="21"/>
        <v>0</v>
      </c>
      <c r="F135" s="161">
        <f t="shared" si="21"/>
        <v>0</v>
      </c>
      <c r="G135" s="161">
        <f t="shared" si="21"/>
        <v>0</v>
      </c>
      <c r="H135" s="161">
        <f t="shared" si="21"/>
        <v>0</v>
      </c>
    </row>
    <row r="136" spans="1:8">
      <c r="A136" s="73">
        <f t="shared" si="19"/>
        <v>0</v>
      </c>
      <c r="B136" s="161">
        <f t="shared" si="21"/>
        <v>0</v>
      </c>
      <c r="C136" s="161">
        <f t="shared" si="21"/>
        <v>0</v>
      </c>
      <c r="D136" s="161">
        <f t="shared" si="21"/>
        <v>0</v>
      </c>
      <c r="E136" s="161">
        <f t="shared" si="21"/>
        <v>0</v>
      </c>
      <c r="F136" s="161">
        <f t="shared" si="21"/>
        <v>0</v>
      </c>
      <c r="G136" s="161">
        <f t="shared" si="21"/>
        <v>0</v>
      </c>
      <c r="H136" s="161">
        <f t="shared" si="21"/>
        <v>0</v>
      </c>
    </row>
    <row r="137" spans="1:8">
      <c r="A137" s="73" t="str">
        <f t="shared" si="19"/>
        <v>Groundnut</v>
      </c>
      <c r="B137" s="161">
        <f t="shared" si="21"/>
        <v>0</v>
      </c>
      <c r="C137" s="161">
        <f t="shared" si="21"/>
        <v>0</v>
      </c>
      <c r="D137" s="161">
        <f t="shared" si="21"/>
        <v>0</v>
      </c>
      <c r="E137" s="161">
        <f t="shared" si="21"/>
        <v>0</v>
      </c>
      <c r="F137" s="161">
        <f t="shared" si="21"/>
        <v>0</v>
      </c>
      <c r="G137" s="161">
        <f t="shared" si="21"/>
        <v>0</v>
      </c>
      <c r="H137" s="161">
        <f t="shared" si="21"/>
        <v>0</v>
      </c>
    </row>
    <row r="138" spans="1:8">
      <c r="A138" s="73">
        <f t="shared" si="19"/>
        <v>0</v>
      </c>
      <c r="B138" s="161">
        <f t="shared" si="21"/>
        <v>0</v>
      </c>
      <c r="C138" s="161">
        <f t="shared" si="21"/>
        <v>0</v>
      </c>
      <c r="D138" s="161">
        <f t="shared" si="21"/>
        <v>0</v>
      </c>
      <c r="E138" s="161">
        <f t="shared" si="21"/>
        <v>0</v>
      </c>
      <c r="F138" s="161">
        <f t="shared" si="21"/>
        <v>0</v>
      </c>
      <c r="G138" s="161">
        <f t="shared" si="21"/>
        <v>0</v>
      </c>
      <c r="H138" s="161">
        <f t="shared" si="21"/>
        <v>0</v>
      </c>
    </row>
    <row r="139" spans="1:8">
      <c r="A139" s="73">
        <f t="shared" si="19"/>
        <v>0</v>
      </c>
      <c r="B139" s="161">
        <f t="shared" si="21"/>
        <v>0</v>
      </c>
      <c r="C139" s="161">
        <f t="shared" si="21"/>
        <v>0</v>
      </c>
      <c r="D139" s="161">
        <f t="shared" si="21"/>
        <v>0</v>
      </c>
      <c r="E139" s="161">
        <f t="shared" si="21"/>
        <v>0</v>
      </c>
      <c r="F139" s="161">
        <f t="shared" si="21"/>
        <v>0</v>
      </c>
      <c r="G139" s="161">
        <f t="shared" si="21"/>
        <v>0</v>
      </c>
      <c r="H139" s="161">
        <f t="shared" si="21"/>
        <v>0</v>
      </c>
    </row>
    <row r="140" spans="1:8">
      <c r="A140" s="73">
        <f t="shared" si="19"/>
        <v>0</v>
      </c>
      <c r="B140" s="161">
        <f t="shared" ref="B140:H141" si="22">B88-(B88*$G$6)</f>
        <v>0</v>
      </c>
      <c r="C140" s="161">
        <f t="shared" si="22"/>
        <v>0</v>
      </c>
      <c r="D140" s="161">
        <f t="shared" si="22"/>
        <v>0</v>
      </c>
      <c r="E140" s="161">
        <f t="shared" si="22"/>
        <v>0</v>
      </c>
      <c r="F140" s="161">
        <f t="shared" si="22"/>
        <v>0</v>
      </c>
      <c r="G140" s="161">
        <f t="shared" si="22"/>
        <v>0</v>
      </c>
      <c r="H140" s="161">
        <f t="shared" si="22"/>
        <v>0</v>
      </c>
    </row>
    <row r="141" spans="1:8">
      <c r="A141" s="73">
        <f t="shared" si="19"/>
        <v>0</v>
      </c>
      <c r="B141" s="161">
        <f t="shared" si="22"/>
        <v>0</v>
      </c>
      <c r="C141" s="161">
        <f t="shared" si="22"/>
        <v>0</v>
      </c>
      <c r="D141" s="161">
        <f t="shared" si="22"/>
        <v>0</v>
      </c>
      <c r="E141" s="161">
        <f t="shared" si="22"/>
        <v>0</v>
      </c>
      <c r="F141" s="161">
        <f t="shared" si="22"/>
        <v>0</v>
      </c>
      <c r="G141" s="161">
        <f t="shared" si="22"/>
        <v>0</v>
      </c>
      <c r="H141" s="161">
        <f t="shared" si="22"/>
        <v>0</v>
      </c>
    </row>
    <row r="142" spans="1:8">
      <c r="A142" s="73"/>
      <c r="B142" s="161"/>
      <c r="C142" s="161"/>
      <c r="D142" s="161"/>
      <c r="E142" s="161"/>
      <c r="F142" s="161"/>
      <c r="G142" s="161"/>
      <c r="H142" s="161"/>
    </row>
    <row r="143" spans="1:8">
      <c r="A143" s="75" t="str">
        <f t="shared" ref="A143:A161" si="23">A91</f>
        <v>Fruit  &amp; Vegetables Crop Production Details</v>
      </c>
      <c r="B143" s="161"/>
      <c r="C143" s="161"/>
      <c r="D143" s="161"/>
      <c r="E143" s="161"/>
      <c r="F143" s="161"/>
      <c r="G143" s="161"/>
      <c r="H143" s="161"/>
    </row>
    <row r="144" spans="1:8">
      <c r="A144" s="73" t="str">
        <f t="shared" si="23"/>
        <v>Onion</v>
      </c>
      <c r="B144" s="161">
        <f t="shared" ref="B144:H153" si="24">B92-(B92*$G$7)</f>
        <v>0</v>
      </c>
      <c r="C144" s="161">
        <f t="shared" si="24"/>
        <v>0</v>
      </c>
      <c r="D144" s="161">
        <f t="shared" si="24"/>
        <v>0</v>
      </c>
      <c r="E144" s="161">
        <f t="shared" si="24"/>
        <v>0</v>
      </c>
      <c r="F144" s="161">
        <f t="shared" si="24"/>
        <v>0</v>
      </c>
      <c r="G144" s="161">
        <f t="shared" si="24"/>
        <v>0</v>
      </c>
      <c r="H144" s="161">
        <f t="shared" si="24"/>
        <v>0</v>
      </c>
    </row>
    <row r="145" spans="1:8">
      <c r="A145" s="73" t="str">
        <f t="shared" si="23"/>
        <v>Tomato</v>
      </c>
      <c r="B145" s="161">
        <f t="shared" si="24"/>
        <v>0</v>
      </c>
      <c r="C145" s="161">
        <f t="shared" si="24"/>
        <v>0</v>
      </c>
      <c r="D145" s="161">
        <f t="shared" si="24"/>
        <v>0</v>
      </c>
      <c r="E145" s="161">
        <f t="shared" si="24"/>
        <v>0</v>
      </c>
      <c r="F145" s="161">
        <f t="shared" si="24"/>
        <v>0</v>
      </c>
      <c r="G145" s="161">
        <f t="shared" si="24"/>
        <v>0</v>
      </c>
      <c r="H145" s="161">
        <f t="shared" si="24"/>
        <v>0</v>
      </c>
    </row>
    <row r="146" spans="1:8">
      <c r="A146" s="73" t="str">
        <f t="shared" si="23"/>
        <v>Okra</v>
      </c>
      <c r="B146" s="161">
        <f t="shared" si="24"/>
        <v>0</v>
      </c>
      <c r="C146" s="161">
        <f t="shared" si="24"/>
        <v>0</v>
      </c>
      <c r="D146" s="161">
        <f t="shared" si="24"/>
        <v>0</v>
      </c>
      <c r="E146" s="161">
        <f t="shared" si="24"/>
        <v>0</v>
      </c>
      <c r="F146" s="161">
        <f t="shared" si="24"/>
        <v>0</v>
      </c>
      <c r="G146" s="161">
        <f t="shared" si="24"/>
        <v>0</v>
      </c>
      <c r="H146" s="161">
        <f t="shared" si="24"/>
        <v>0</v>
      </c>
    </row>
    <row r="147" spans="1:8">
      <c r="A147" s="73" t="str">
        <f t="shared" si="23"/>
        <v>Chilli</v>
      </c>
      <c r="B147" s="161">
        <f t="shared" si="24"/>
        <v>0</v>
      </c>
      <c r="C147" s="161">
        <f t="shared" si="24"/>
        <v>0</v>
      </c>
      <c r="D147" s="161">
        <f t="shared" si="24"/>
        <v>0</v>
      </c>
      <c r="E147" s="161">
        <f t="shared" si="24"/>
        <v>0</v>
      </c>
      <c r="F147" s="161">
        <f t="shared" si="24"/>
        <v>0</v>
      </c>
      <c r="G147" s="161">
        <f t="shared" si="24"/>
        <v>0</v>
      </c>
      <c r="H147" s="161">
        <f t="shared" si="24"/>
        <v>0</v>
      </c>
    </row>
    <row r="148" spans="1:8">
      <c r="A148" s="73" t="str">
        <f t="shared" si="23"/>
        <v>Potato</v>
      </c>
      <c r="B148" s="161">
        <f t="shared" si="24"/>
        <v>0</v>
      </c>
      <c r="C148" s="161">
        <f t="shared" si="24"/>
        <v>0</v>
      </c>
      <c r="D148" s="161">
        <f t="shared" si="24"/>
        <v>0</v>
      </c>
      <c r="E148" s="161">
        <f t="shared" si="24"/>
        <v>0</v>
      </c>
      <c r="F148" s="161">
        <f t="shared" si="24"/>
        <v>0</v>
      </c>
      <c r="G148" s="161">
        <f t="shared" si="24"/>
        <v>0</v>
      </c>
      <c r="H148" s="161">
        <f t="shared" si="24"/>
        <v>0</v>
      </c>
    </row>
    <row r="149" spans="1:8">
      <c r="A149" s="73">
        <f t="shared" si="23"/>
        <v>0</v>
      </c>
      <c r="B149" s="161">
        <f t="shared" si="24"/>
        <v>0</v>
      </c>
      <c r="C149" s="161">
        <f t="shared" si="24"/>
        <v>0</v>
      </c>
      <c r="D149" s="161">
        <f t="shared" si="24"/>
        <v>0</v>
      </c>
      <c r="E149" s="161">
        <f t="shared" si="24"/>
        <v>0</v>
      </c>
      <c r="F149" s="161">
        <f t="shared" si="24"/>
        <v>0</v>
      </c>
      <c r="G149" s="161">
        <f t="shared" si="24"/>
        <v>0</v>
      </c>
      <c r="H149" s="161">
        <f t="shared" si="24"/>
        <v>0</v>
      </c>
    </row>
    <row r="150" spans="1:8">
      <c r="A150" s="73">
        <f t="shared" si="23"/>
        <v>0</v>
      </c>
      <c r="B150" s="161">
        <f t="shared" si="24"/>
        <v>0</v>
      </c>
      <c r="C150" s="161">
        <f t="shared" si="24"/>
        <v>0</v>
      </c>
      <c r="D150" s="161">
        <f t="shared" si="24"/>
        <v>0</v>
      </c>
      <c r="E150" s="161">
        <f t="shared" si="24"/>
        <v>0</v>
      </c>
      <c r="F150" s="161">
        <f t="shared" si="24"/>
        <v>0</v>
      </c>
      <c r="G150" s="161">
        <f t="shared" si="24"/>
        <v>0</v>
      </c>
      <c r="H150" s="161">
        <f t="shared" si="24"/>
        <v>0</v>
      </c>
    </row>
    <row r="151" spans="1:8">
      <c r="A151" s="73">
        <f t="shared" si="23"/>
        <v>0</v>
      </c>
      <c r="B151" s="161">
        <f t="shared" si="24"/>
        <v>0</v>
      </c>
      <c r="C151" s="161">
        <f t="shared" si="24"/>
        <v>0</v>
      </c>
      <c r="D151" s="161">
        <f t="shared" si="24"/>
        <v>0</v>
      </c>
      <c r="E151" s="161">
        <f t="shared" si="24"/>
        <v>0</v>
      </c>
      <c r="F151" s="161">
        <f t="shared" si="24"/>
        <v>0</v>
      </c>
      <c r="G151" s="161">
        <f t="shared" si="24"/>
        <v>0</v>
      </c>
      <c r="H151" s="161">
        <f t="shared" si="24"/>
        <v>0</v>
      </c>
    </row>
    <row r="152" spans="1:8">
      <c r="A152" s="73">
        <f t="shared" si="23"/>
        <v>0</v>
      </c>
      <c r="B152" s="161">
        <f t="shared" si="24"/>
        <v>0</v>
      </c>
      <c r="C152" s="161">
        <f t="shared" si="24"/>
        <v>0</v>
      </c>
      <c r="D152" s="161">
        <f t="shared" si="24"/>
        <v>0</v>
      </c>
      <c r="E152" s="161">
        <f t="shared" si="24"/>
        <v>0</v>
      </c>
      <c r="F152" s="161">
        <f t="shared" si="24"/>
        <v>0</v>
      </c>
      <c r="G152" s="161">
        <f t="shared" si="24"/>
        <v>0</v>
      </c>
      <c r="H152" s="161">
        <f t="shared" si="24"/>
        <v>0</v>
      </c>
    </row>
    <row r="153" spans="1:8">
      <c r="A153" s="73" t="str">
        <f t="shared" si="23"/>
        <v>Onion</v>
      </c>
      <c r="B153" s="161">
        <f t="shared" si="24"/>
        <v>0</v>
      </c>
      <c r="C153" s="161">
        <f t="shared" si="24"/>
        <v>0</v>
      </c>
      <c r="D153" s="161">
        <f t="shared" si="24"/>
        <v>0</v>
      </c>
      <c r="E153" s="161">
        <f t="shared" si="24"/>
        <v>0</v>
      </c>
      <c r="F153" s="161">
        <f t="shared" si="24"/>
        <v>0</v>
      </c>
      <c r="G153" s="161">
        <f t="shared" si="24"/>
        <v>0</v>
      </c>
      <c r="H153" s="161">
        <f t="shared" si="24"/>
        <v>0</v>
      </c>
    </row>
    <row r="154" spans="1:8">
      <c r="A154" s="73" t="str">
        <f t="shared" si="23"/>
        <v>Tomato</v>
      </c>
      <c r="B154" s="161">
        <f t="shared" ref="B154:H161" si="25">B102-(B102*$G$7)</f>
        <v>0</v>
      </c>
      <c r="C154" s="161">
        <f t="shared" si="25"/>
        <v>0</v>
      </c>
      <c r="D154" s="161">
        <f t="shared" si="25"/>
        <v>0</v>
      </c>
      <c r="E154" s="161">
        <f t="shared" si="25"/>
        <v>0</v>
      </c>
      <c r="F154" s="161">
        <f t="shared" si="25"/>
        <v>0</v>
      </c>
      <c r="G154" s="161">
        <f t="shared" si="25"/>
        <v>0</v>
      </c>
      <c r="H154" s="161">
        <f t="shared" si="25"/>
        <v>0</v>
      </c>
    </row>
    <row r="155" spans="1:8">
      <c r="A155" s="73" t="str">
        <f t="shared" si="23"/>
        <v>Okra</v>
      </c>
      <c r="B155" s="161">
        <f t="shared" si="25"/>
        <v>0</v>
      </c>
      <c r="C155" s="161">
        <f t="shared" si="25"/>
        <v>0</v>
      </c>
      <c r="D155" s="161">
        <f t="shared" si="25"/>
        <v>0</v>
      </c>
      <c r="E155" s="161">
        <f t="shared" si="25"/>
        <v>0</v>
      </c>
      <c r="F155" s="161">
        <f t="shared" si="25"/>
        <v>0</v>
      </c>
      <c r="G155" s="161">
        <f t="shared" si="25"/>
        <v>0</v>
      </c>
      <c r="H155" s="161">
        <f t="shared" si="25"/>
        <v>0</v>
      </c>
    </row>
    <row r="156" spans="1:8">
      <c r="A156" s="73" t="str">
        <f t="shared" si="23"/>
        <v>Chilli</v>
      </c>
      <c r="B156" s="161">
        <f t="shared" si="25"/>
        <v>0</v>
      </c>
      <c r="C156" s="161">
        <f t="shared" si="25"/>
        <v>0</v>
      </c>
      <c r="D156" s="161">
        <f t="shared" si="25"/>
        <v>0</v>
      </c>
      <c r="E156" s="161">
        <f t="shared" si="25"/>
        <v>0</v>
      </c>
      <c r="F156" s="161">
        <f t="shared" si="25"/>
        <v>0</v>
      </c>
      <c r="G156" s="161">
        <f t="shared" si="25"/>
        <v>0</v>
      </c>
      <c r="H156" s="161">
        <f t="shared" si="25"/>
        <v>0</v>
      </c>
    </row>
    <row r="157" spans="1:8">
      <c r="A157" s="73" t="str">
        <f t="shared" si="23"/>
        <v>Brinjal</v>
      </c>
      <c r="B157" s="161">
        <f t="shared" si="25"/>
        <v>0</v>
      </c>
      <c r="C157" s="161">
        <f t="shared" si="25"/>
        <v>0</v>
      </c>
      <c r="D157" s="161">
        <f t="shared" si="25"/>
        <v>0</v>
      </c>
      <c r="E157" s="161">
        <f t="shared" si="25"/>
        <v>0</v>
      </c>
      <c r="F157" s="161">
        <f t="shared" si="25"/>
        <v>0</v>
      </c>
      <c r="G157" s="161">
        <f t="shared" si="25"/>
        <v>0</v>
      </c>
      <c r="H157" s="161">
        <f t="shared" si="25"/>
        <v>0</v>
      </c>
    </row>
    <row r="158" spans="1:8">
      <c r="A158" s="73">
        <f t="shared" si="23"/>
        <v>0</v>
      </c>
      <c r="B158" s="161">
        <f t="shared" si="25"/>
        <v>0</v>
      </c>
      <c r="C158" s="161">
        <f t="shared" si="25"/>
        <v>0</v>
      </c>
      <c r="D158" s="161">
        <f t="shared" si="25"/>
        <v>0</v>
      </c>
      <c r="E158" s="161">
        <f t="shared" si="25"/>
        <v>0</v>
      </c>
      <c r="F158" s="161">
        <f t="shared" si="25"/>
        <v>0</v>
      </c>
      <c r="G158" s="161">
        <f t="shared" si="25"/>
        <v>0</v>
      </c>
      <c r="H158" s="161">
        <f t="shared" si="25"/>
        <v>0</v>
      </c>
    </row>
    <row r="159" spans="1:8">
      <c r="A159" s="73">
        <f t="shared" si="23"/>
        <v>0</v>
      </c>
      <c r="B159" s="161">
        <f t="shared" si="25"/>
        <v>0</v>
      </c>
      <c r="C159" s="161">
        <f t="shared" si="25"/>
        <v>0</v>
      </c>
      <c r="D159" s="161">
        <f t="shared" si="25"/>
        <v>0</v>
      </c>
      <c r="E159" s="161">
        <f t="shared" si="25"/>
        <v>0</v>
      </c>
      <c r="F159" s="161">
        <f t="shared" si="25"/>
        <v>0</v>
      </c>
      <c r="G159" s="161">
        <f t="shared" si="25"/>
        <v>0</v>
      </c>
      <c r="H159" s="161">
        <f t="shared" si="25"/>
        <v>0</v>
      </c>
    </row>
    <row r="160" spans="1:8">
      <c r="A160" s="73">
        <f t="shared" si="23"/>
        <v>0</v>
      </c>
      <c r="B160" s="161">
        <f t="shared" si="25"/>
        <v>0</v>
      </c>
      <c r="C160" s="161">
        <f t="shared" si="25"/>
        <v>0</v>
      </c>
      <c r="D160" s="161">
        <f t="shared" si="25"/>
        <v>0</v>
      </c>
      <c r="E160" s="161">
        <f t="shared" si="25"/>
        <v>0</v>
      </c>
      <c r="F160" s="161">
        <f t="shared" si="25"/>
        <v>0</v>
      </c>
      <c r="G160" s="161">
        <f t="shared" si="25"/>
        <v>0</v>
      </c>
      <c r="H160" s="161">
        <f t="shared" si="25"/>
        <v>0</v>
      </c>
    </row>
    <row r="161" spans="1:20">
      <c r="A161" s="73">
        <f t="shared" si="23"/>
        <v>0</v>
      </c>
      <c r="B161" s="161">
        <f t="shared" si="25"/>
        <v>0</v>
      </c>
      <c r="C161" s="161">
        <f t="shared" si="25"/>
        <v>0</v>
      </c>
      <c r="D161" s="161">
        <f t="shared" si="25"/>
        <v>0</v>
      </c>
      <c r="E161" s="161">
        <f t="shared" si="25"/>
        <v>0</v>
      </c>
      <c r="F161" s="161">
        <f t="shared" si="25"/>
        <v>0</v>
      </c>
      <c r="G161" s="161">
        <f t="shared" si="25"/>
        <v>0</v>
      </c>
      <c r="H161" s="161">
        <f t="shared" si="25"/>
        <v>0</v>
      </c>
    </row>
    <row r="162" spans="1:20">
      <c r="A162" s="73">
        <f t="shared" ref="A162:A165" si="26">A110</f>
        <v>0</v>
      </c>
      <c r="B162" s="161">
        <f t="shared" ref="B162:H162" si="27">B110-(B110*$G$7)</f>
        <v>0</v>
      </c>
      <c r="C162" s="161">
        <f t="shared" si="27"/>
        <v>0</v>
      </c>
      <c r="D162" s="161">
        <f t="shared" si="27"/>
        <v>0</v>
      </c>
      <c r="E162" s="161">
        <f t="shared" si="27"/>
        <v>0</v>
      </c>
      <c r="F162" s="161">
        <f t="shared" si="27"/>
        <v>0</v>
      </c>
      <c r="G162" s="161">
        <f t="shared" si="27"/>
        <v>0</v>
      </c>
      <c r="H162" s="161">
        <f t="shared" si="27"/>
        <v>0</v>
      </c>
    </row>
    <row r="163" spans="1:20">
      <c r="A163" s="73">
        <f t="shared" si="26"/>
        <v>0</v>
      </c>
      <c r="B163" s="161">
        <f t="shared" ref="B163:H163" si="28">B111-(B111*$G$7)</f>
        <v>0</v>
      </c>
      <c r="C163" s="161">
        <f t="shared" si="28"/>
        <v>0</v>
      </c>
      <c r="D163" s="161">
        <f t="shared" si="28"/>
        <v>0</v>
      </c>
      <c r="E163" s="161">
        <f t="shared" si="28"/>
        <v>0</v>
      </c>
      <c r="F163" s="161">
        <f t="shared" si="28"/>
        <v>0</v>
      </c>
      <c r="G163" s="161">
        <f t="shared" si="28"/>
        <v>0</v>
      </c>
      <c r="H163" s="161">
        <f t="shared" si="28"/>
        <v>0</v>
      </c>
    </row>
    <row r="164" spans="1:20">
      <c r="A164" s="73">
        <f t="shared" si="26"/>
        <v>0</v>
      </c>
      <c r="B164" s="161">
        <f t="shared" ref="B164:H165" si="29">B112-(B112*$G$7)</f>
        <v>0</v>
      </c>
      <c r="C164" s="161">
        <f t="shared" si="29"/>
        <v>0</v>
      </c>
      <c r="D164" s="161">
        <f t="shared" si="29"/>
        <v>0</v>
      </c>
      <c r="E164" s="161">
        <f t="shared" si="29"/>
        <v>0</v>
      </c>
      <c r="F164" s="161">
        <f t="shared" si="29"/>
        <v>0</v>
      </c>
      <c r="G164" s="161">
        <f t="shared" si="29"/>
        <v>0</v>
      </c>
      <c r="H164" s="161">
        <f t="shared" si="29"/>
        <v>0</v>
      </c>
    </row>
    <row r="165" spans="1:20">
      <c r="A165" s="73" t="str">
        <f t="shared" si="26"/>
        <v>Pomegranate</v>
      </c>
      <c r="B165" s="161">
        <f t="shared" si="29"/>
        <v>0</v>
      </c>
      <c r="C165" s="161">
        <f t="shared" ref="C165:H168" si="30">C113-(C113*$G$7)</f>
        <v>0</v>
      </c>
      <c r="D165" s="161">
        <f t="shared" si="30"/>
        <v>0</v>
      </c>
      <c r="E165" s="161">
        <f t="shared" si="30"/>
        <v>0</v>
      </c>
      <c r="F165" s="161">
        <f t="shared" si="30"/>
        <v>0</v>
      </c>
      <c r="G165" s="161">
        <f t="shared" si="30"/>
        <v>0</v>
      </c>
      <c r="H165" s="161">
        <f t="shared" si="30"/>
        <v>0</v>
      </c>
    </row>
    <row r="166" spans="1:20">
      <c r="A166" s="73" t="str">
        <f>A114</f>
        <v>Custard Apple</v>
      </c>
      <c r="B166" s="161">
        <f>B114-(B114*$G$7)</f>
        <v>0</v>
      </c>
      <c r="C166" s="161">
        <f t="shared" si="30"/>
        <v>0</v>
      </c>
      <c r="D166" s="161">
        <f t="shared" si="30"/>
        <v>0</v>
      </c>
      <c r="E166" s="161">
        <f t="shared" si="30"/>
        <v>0</v>
      </c>
      <c r="F166" s="161">
        <f t="shared" si="30"/>
        <v>0</v>
      </c>
      <c r="G166" s="161">
        <f t="shared" si="30"/>
        <v>0</v>
      </c>
      <c r="H166" s="161">
        <f t="shared" si="30"/>
        <v>0</v>
      </c>
    </row>
    <row r="167" spans="1:20">
      <c r="A167" s="73" t="str">
        <f>A115</f>
        <v>Guava</v>
      </c>
      <c r="B167" s="161">
        <f>B115-(B115*$G$7)</f>
        <v>0</v>
      </c>
      <c r="C167" s="161">
        <f t="shared" si="30"/>
        <v>0</v>
      </c>
      <c r="D167" s="161">
        <f t="shared" si="30"/>
        <v>0</v>
      </c>
      <c r="E167" s="161">
        <f t="shared" si="30"/>
        <v>0</v>
      </c>
      <c r="F167" s="161">
        <f t="shared" si="30"/>
        <v>0</v>
      </c>
      <c r="G167" s="161">
        <f t="shared" si="30"/>
        <v>0</v>
      </c>
      <c r="H167" s="161">
        <f t="shared" si="30"/>
        <v>0</v>
      </c>
    </row>
    <row r="168" spans="1:20">
      <c r="A168" s="73" t="str">
        <f>A116</f>
        <v>Citrus</v>
      </c>
      <c r="B168" s="161">
        <f>B116-(B116*$G$7)</f>
        <v>0</v>
      </c>
      <c r="C168" s="161">
        <f t="shared" si="30"/>
        <v>0</v>
      </c>
      <c r="D168" s="161">
        <f t="shared" si="30"/>
        <v>0</v>
      </c>
      <c r="E168" s="161">
        <f t="shared" si="30"/>
        <v>0</v>
      </c>
      <c r="F168" s="161">
        <f t="shared" si="30"/>
        <v>0</v>
      </c>
      <c r="G168" s="161">
        <f t="shared" si="30"/>
        <v>0</v>
      </c>
      <c r="H168" s="161">
        <f t="shared" si="30"/>
        <v>0</v>
      </c>
    </row>
    <row r="169" spans="1:20">
      <c r="A169" s="72"/>
    </row>
    <row r="170" spans="1:20" ht="17.5">
      <c r="A170" s="411" t="s">
        <v>578</v>
      </c>
      <c r="B170" s="411"/>
      <c r="C170" s="411"/>
      <c r="D170" s="411"/>
      <c r="E170" s="411"/>
      <c r="F170" s="411"/>
      <c r="G170" s="411"/>
      <c r="H170" s="411"/>
      <c r="I170" s="411"/>
      <c r="J170" s="411"/>
    </row>
    <row r="171" spans="1:20">
      <c r="A171" s="12"/>
      <c r="B171" s="12"/>
      <c r="C171" s="12"/>
      <c r="D171" s="12"/>
      <c r="E171" s="12"/>
      <c r="F171" s="12"/>
      <c r="G171" s="12"/>
      <c r="H171" s="12"/>
    </row>
    <row r="172" spans="1:20">
      <c r="A172" s="162"/>
      <c r="B172" s="162"/>
      <c r="C172" s="162"/>
      <c r="D172" s="163">
        <v>1</v>
      </c>
      <c r="E172" s="164">
        <f>(D172*5%)+D172</f>
        <v>1.05</v>
      </c>
      <c r="F172" s="164">
        <f t="shared" ref="F172:J172" si="31">(E172*5%)+E172</f>
        <v>1.1025</v>
      </c>
      <c r="G172" s="164">
        <f t="shared" si="31"/>
        <v>1.1576250000000001</v>
      </c>
      <c r="H172" s="164">
        <f t="shared" si="31"/>
        <v>1.2155062500000002</v>
      </c>
      <c r="I172" s="164">
        <f t="shared" si="31"/>
        <v>1.2762815625000004</v>
      </c>
      <c r="J172" s="164">
        <f t="shared" si="31"/>
        <v>1.3400956406250004</v>
      </c>
      <c r="K172" s="72"/>
      <c r="L172" s="72"/>
      <c r="M172" s="72"/>
      <c r="N172" s="72"/>
      <c r="O172" s="72"/>
      <c r="P172" s="72"/>
      <c r="Q172" s="72"/>
      <c r="R172" s="72"/>
      <c r="S172" s="72"/>
      <c r="T172" s="72"/>
    </row>
    <row r="173" spans="1:20">
      <c r="A173" s="72"/>
      <c r="B173" s="72"/>
      <c r="C173" s="72"/>
      <c r="D173" s="72"/>
      <c r="E173" s="72"/>
      <c r="F173" s="72"/>
      <c r="G173" s="72"/>
      <c r="H173" s="72"/>
      <c r="I173" s="72"/>
      <c r="J173" s="72"/>
      <c r="K173" s="72"/>
      <c r="L173" s="72"/>
      <c r="M173" s="72"/>
      <c r="N173" s="72"/>
      <c r="O173" s="72"/>
      <c r="P173" s="72"/>
      <c r="Q173" s="72"/>
      <c r="R173" s="72"/>
      <c r="S173" s="72"/>
      <c r="T173" s="72"/>
    </row>
    <row r="174" spans="1:20">
      <c r="A174" s="72"/>
      <c r="B174" s="72"/>
      <c r="C174" s="72"/>
      <c r="D174" s="154"/>
      <c r="E174" s="154"/>
      <c r="F174" s="154"/>
      <c r="G174" s="154"/>
      <c r="H174" s="154"/>
      <c r="I174" s="154"/>
      <c r="J174" s="154"/>
      <c r="K174" s="72"/>
      <c r="L174" s="72"/>
    </row>
    <row r="175" spans="1:20">
      <c r="A175" s="64" t="s">
        <v>0</v>
      </c>
      <c r="B175" s="64"/>
      <c r="C175" s="64" t="s">
        <v>153</v>
      </c>
      <c r="D175" s="65" t="s">
        <v>2</v>
      </c>
      <c r="E175" s="65" t="s">
        <v>3</v>
      </c>
      <c r="F175" s="65" t="s">
        <v>4</v>
      </c>
      <c r="G175" s="65" t="s">
        <v>5</v>
      </c>
      <c r="H175" s="65" t="s">
        <v>6</v>
      </c>
      <c r="I175" s="65" t="s">
        <v>169</v>
      </c>
      <c r="J175" s="65" t="s">
        <v>168</v>
      </c>
      <c r="K175" s="72"/>
      <c r="L175" s="72"/>
    </row>
    <row r="176" spans="1:20">
      <c r="A176" s="75"/>
      <c r="B176" s="75"/>
      <c r="C176" s="75"/>
      <c r="D176" s="73"/>
      <c r="E176" s="73"/>
      <c r="F176" s="73"/>
      <c r="G176" s="73"/>
      <c r="H176" s="73"/>
      <c r="I176" s="73"/>
      <c r="J176" s="73"/>
      <c r="K176" s="72"/>
      <c r="L176" s="72"/>
    </row>
    <row r="177" spans="1:12">
      <c r="A177" s="75" t="s">
        <v>127</v>
      </c>
      <c r="B177" s="75"/>
      <c r="C177" s="75"/>
      <c r="D177" s="73"/>
      <c r="E177" s="73"/>
      <c r="F177" s="73"/>
      <c r="G177" s="73"/>
      <c r="H177" s="73"/>
      <c r="I177" s="73"/>
      <c r="J177" s="73"/>
      <c r="K177" s="72"/>
      <c r="L177" s="72"/>
    </row>
    <row r="178" spans="1:12">
      <c r="A178" s="73" t="str">
        <f>Output!B19</f>
        <v>Soybean</v>
      </c>
      <c r="B178" s="73" t="s">
        <v>295</v>
      </c>
      <c r="C178" s="367">
        <v>50000</v>
      </c>
      <c r="D178" s="170">
        <f>((1-'5.Closing Stock &amp; W Capital'!$D$16)*(Output!C19))*$C178*D$172</f>
        <v>22353408</v>
      </c>
      <c r="E178" s="170">
        <f>(((1-'5.Closing Stock &amp; W Capital'!$D$16)*Output!D19)+(('5.Closing Stock &amp; W Capital'!$D$16)*Output!C19))*$C178*E$172</f>
        <v>25664083.200000007</v>
      </c>
      <c r="F178" s="170">
        <f>(((1-'5.Closing Stock &amp; W Capital'!$D$16)*Output!E19)+(('5.Closing Stock &amp; W Capital'!$D$16)*Output!D19))*$C178*F$172</f>
        <v>29021751.360000007</v>
      </c>
      <c r="G178" s="170">
        <f>(((1-'5.Closing Stock &amp; W Capital'!$D$16)*Output!F19)+(('5.Closing Stock &amp; W Capital'!$D$16)*Output!E19))*$C178*G$172</f>
        <v>32651026.128000006</v>
      </c>
      <c r="H178" s="170">
        <f>(((1-'5.Closing Stock &amp; W Capital'!$D$16)*Output!G19)+(('5.Closing Stock &amp; W Capital'!$D$16)*Output!F19))*$C178*H$172</f>
        <v>36570673.994400017</v>
      </c>
      <c r="I178" s="170">
        <f>(((1-'5.Closing Stock &amp; W Capital'!$D$16)*Output!H19)+(('5.Closing Stock &amp; W Capital'!$D$16)*Output!G19))*$C178*I$172</f>
        <v>40800659.082120024</v>
      </c>
      <c r="J178" s="170">
        <f>(((1-'5.Closing Stock &amp; W Capital'!$D$16)*Output!I19)+(('5.Closing Stock &amp; W Capital'!$D$16)*Output!H19))*$C178*J$172</f>
        <v>45362215.993626021</v>
      </c>
      <c r="K178" s="72"/>
      <c r="L178" s="72"/>
    </row>
    <row r="179" spans="1:12">
      <c r="A179" s="73" t="str">
        <f>Output!B20</f>
        <v>Red Gram</v>
      </c>
      <c r="B179" s="73" t="s">
        <v>295</v>
      </c>
      <c r="C179" s="367">
        <v>63000</v>
      </c>
      <c r="D179" s="170">
        <f>((1-'5.Closing Stock &amp; W Capital'!$D$16)*(Output!C20))*$C179*D$172</f>
        <v>24644632.319999997</v>
      </c>
      <c r="E179" s="170">
        <f>(((1-'5.Closing Stock &amp; W Capital'!$D$16)*Output!D20)+(('5.Closing Stock &amp; W Capital'!$D$16)*Output!C20))*$C179*E$172</f>
        <v>28294651.728</v>
      </c>
      <c r="F179" s="170">
        <f>(((1-'5.Closing Stock &amp; W Capital'!$D$16)*Output!E20)+(('5.Closing Stock &amp; W Capital'!$D$16)*Output!D20))*$C179*F$172</f>
        <v>31996480.874400005</v>
      </c>
      <c r="G179" s="170">
        <f>(((1-'5.Closing Stock &amp; W Capital'!$D$16)*Output!F20)+(('5.Closing Stock &amp; W Capital'!$D$16)*Output!E20))*$C179*G$172</f>
        <v>35997756.306120008</v>
      </c>
      <c r="H179" s="170">
        <f>(((1-'5.Closing Stock &amp; W Capital'!$D$16)*Output!G20)+(('5.Closing Stock &amp; W Capital'!$D$16)*Output!F20))*$C179*H$172</f>
        <v>40319168.07882601</v>
      </c>
      <c r="I179" s="170">
        <f>(((1-'5.Closing Stock &amp; W Capital'!$D$16)*Output!H20)+(('5.Closing Stock &amp; W Capital'!$D$16)*Output!G20))*$C179*I$172</f>
        <v>44982726.638037324</v>
      </c>
      <c r="J179" s="170">
        <f>(((1-'5.Closing Stock &amp; W Capital'!$D$16)*Output!I20)+(('5.Closing Stock &amp; W Capital'!$D$16)*Output!H20))*$C179*J$172</f>
        <v>50011843.13297268</v>
      </c>
      <c r="K179" s="72"/>
      <c r="L179" s="72"/>
    </row>
    <row r="180" spans="1:12">
      <c r="A180" s="73" t="str">
        <f>Output!B21</f>
        <v>Bengal Gram</v>
      </c>
      <c r="B180" s="73" t="s">
        <v>295</v>
      </c>
      <c r="C180" s="367">
        <v>55000</v>
      </c>
      <c r="D180" s="170">
        <f>((1-'5.Closing Stock &amp; W Capital'!$D$16)*(Output!C21))*$C180*D$172</f>
        <v>12294374.399999999</v>
      </c>
      <c r="E180" s="170">
        <f>(((1-'5.Closing Stock &amp; W Capital'!$D$16)*Output!D21)+(('5.Closing Stock &amp; W Capital'!$D$16)*Output!C21))*$C180*E$172</f>
        <v>14115245.760000002</v>
      </c>
      <c r="F180" s="170">
        <f>(((1-'5.Closing Stock &amp; W Capital'!$D$16)*Output!E21)+(('5.Closing Stock &amp; W Capital'!$D$16)*Output!D21))*$C180*F$172</f>
        <v>15961963.248000003</v>
      </c>
      <c r="G180" s="170">
        <f>(((1-'5.Closing Stock &amp; W Capital'!$D$16)*Output!F21)+(('5.Closing Stock &amp; W Capital'!$D$16)*Output!E21))*$C180*G$172</f>
        <v>17958064.370400004</v>
      </c>
      <c r="H180" s="170">
        <f>(((1-'5.Closing Stock &amp; W Capital'!$D$16)*Output!G21)+(('5.Closing Stock &amp; W Capital'!$D$16)*Output!F21))*$C180*H$172</f>
        <v>20113870.696920007</v>
      </c>
      <c r="I180" s="170">
        <f>(((1-'5.Closing Stock &amp; W Capital'!$D$16)*Output!H21)+(('5.Closing Stock &amp; W Capital'!$D$16)*Output!G21))*$C180*I$172</f>
        <v>22440362.495166015</v>
      </c>
      <c r="J180" s="170">
        <f>(((1-'5.Closing Stock &amp; W Capital'!$D$16)*Output!I21)+(('5.Closing Stock &amp; W Capital'!$D$16)*Output!H21))*$C180*J$172</f>
        <v>24949218.796494313</v>
      </c>
      <c r="K180" s="72"/>
      <c r="L180" s="72"/>
    </row>
    <row r="181" spans="1:12">
      <c r="A181" s="73" t="str">
        <f>Output!B22</f>
        <v>Wheat</v>
      </c>
      <c r="B181" s="73" t="s">
        <v>295</v>
      </c>
      <c r="C181" s="367">
        <v>22000</v>
      </c>
      <c r="D181" s="170">
        <f>((1-'5.Closing Stock &amp; W Capital'!$D$16)*(Output!C22))*$C181*D$172</f>
        <v>1229437.4399999999</v>
      </c>
      <c r="E181" s="170">
        <f>(((1-'5.Closing Stock &amp; W Capital'!$D$16)*Output!D22)+(('5.Closing Stock &amp; W Capital'!$D$16)*Output!C22))*$C181*E$172</f>
        <v>1411524.5760000001</v>
      </c>
      <c r="F181" s="170">
        <f>(((1-'5.Closing Stock &amp; W Capital'!$D$16)*Output!E22)+(('5.Closing Stock &amp; W Capital'!$D$16)*Output!D22))*$C181*F$172</f>
        <v>1596196.3248000005</v>
      </c>
      <c r="G181" s="170">
        <f>(((1-'5.Closing Stock &amp; W Capital'!$D$16)*Output!F22)+(('5.Closing Stock &amp; W Capital'!$D$16)*Output!E22))*$C181*G$172</f>
        <v>1795806.4370400002</v>
      </c>
      <c r="H181" s="170">
        <f>(((1-'5.Closing Stock &amp; W Capital'!$D$16)*Output!G22)+(('5.Closing Stock &amp; W Capital'!$D$16)*Output!F22))*$C181*H$172</f>
        <v>2011387.0696920007</v>
      </c>
      <c r="I181" s="170">
        <f>(((1-'5.Closing Stock &amp; W Capital'!$D$16)*Output!H22)+(('5.Closing Stock &amp; W Capital'!$D$16)*Output!G22))*$C181*I$172</f>
        <v>2244036.2495166012</v>
      </c>
      <c r="J181" s="170">
        <f>(((1-'5.Closing Stock &amp; W Capital'!$D$16)*Output!I22)+(('5.Closing Stock &amp; W Capital'!$D$16)*Output!H22))*$C181*J$172</f>
        <v>2494921.8796494314</v>
      </c>
      <c r="K181" s="72"/>
      <c r="L181" s="72"/>
    </row>
    <row r="182" spans="1:12">
      <c r="A182" s="75"/>
      <c r="B182" s="75"/>
      <c r="C182" s="75"/>
      <c r="D182" s="73"/>
      <c r="E182" s="73"/>
      <c r="F182" s="170"/>
      <c r="G182" s="170"/>
      <c r="H182" s="170"/>
      <c r="I182" s="170"/>
      <c r="J182" s="170"/>
      <c r="K182" s="72"/>
      <c r="L182" s="72"/>
    </row>
    <row r="183" spans="1:12">
      <c r="A183" s="75"/>
      <c r="B183" s="75"/>
      <c r="C183" s="75"/>
      <c r="D183" s="73"/>
      <c r="E183" s="73"/>
      <c r="F183" s="170"/>
      <c r="G183" s="170"/>
      <c r="H183" s="170"/>
      <c r="I183" s="170"/>
      <c r="J183" s="170"/>
      <c r="K183" s="72"/>
      <c r="L183" s="72"/>
    </row>
    <row r="184" spans="1:12">
      <c r="A184" s="75" t="s">
        <v>144</v>
      </c>
      <c r="B184" s="75"/>
      <c r="C184" s="75"/>
      <c r="D184" s="368">
        <f t="shared" ref="D184:J184" si="32">SUM(D178:D182)</f>
        <v>60521852.159999989</v>
      </c>
      <c r="E184" s="368">
        <f t="shared" si="32"/>
        <v>69485505.264000013</v>
      </c>
      <c r="F184" s="368">
        <f t="shared" si="32"/>
        <v>78576391.807200015</v>
      </c>
      <c r="G184" s="368">
        <f t="shared" si="32"/>
        <v>88402653.241560012</v>
      </c>
      <c r="H184" s="368">
        <f t="shared" si="32"/>
        <v>99015099.839838043</v>
      </c>
      <c r="I184" s="368">
        <f t="shared" si="32"/>
        <v>110467784.46483998</v>
      </c>
      <c r="J184" s="368">
        <f t="shared" si="32"/>
        <v>122818199.80274245</v>
      </c>
      <c r="K184" s="72"/>
      <c r="L184" s="72"/>
    </row>
    <row r="185" spans="1:12">
      <c r="A185" s="73"/>
      <c r="B185" s="73"/>
      <c r="C185" s="73"/>
      <c r="D185" s="73"/>
      <c r="E185" s="73"/>
      <c r="F185" s="73"/>
      <c r="G185" s="73"/>
      <c r="H185" s="73"/>
      <c r="I185" s="73"/>
      <c r="J185" s="73"/>
      <c r="K185" s="72"/>
      <c r="L185" s="72"/>
    </row>
    <row r="186" spans="1:12">
      <c r="A186" s="75" t="s">
        <v>143</v>
      </c>
      <c r="B186" s="75"/>
      <c r="C186" s="75"/>
      <c r="D186" s="73"/>
      <c r="E186" s="73"/>
      <c r="F186" s="73"/>
      <c r="G186" s="73"/>
      <c r="H186" s="73"/>
      <c r="I186" s="73"/>
      <c r="J186" s="73"/>
      <c r="K186" s="72"/>
      <c r="L186" s="72"/>
    </row>
    <row r="187" spans="1:12">
      <c r="A187" s="75" t="s">
        <v>307</v>
      </c>
      <c r="B187" s="75"/>
      <c r="C187" s="73"/>
      <c r="D187" s="73"/>
      <c r="E187" s="73"/>
      <c r="F187" s="73"/>
      <c r="G187" s="73"/>
      <c r="H187" s="73"/>
      <c r="I187" s="73"/>
      <c r="J187" s="73"/>
      <c r="K187" s="72"/>
      <c r="L187" s="72"/>
    </row>
    <row r="188" spans="1:12">
      <c r="A188" s="73" t="str">
        <f>A178</f>
        <v>Soybean</v>
      </c>
      <c r="B188" s="73" t="s">
        <v>295</v>
      </c>
      <c r="C188" s="165">
        <v>45000</v>
      </c>
      <c r="D188" s="165">
        <f>(Output!C13)*$C188*D$172</f>
        <v>20736000</v>
      </c>
      <c r="E188" s="165">
        <f>(Output!D13)*$C188*E$172</f>
        <v>23587200.000000004</v>
      </c>
      <c r="F188" s="165">
        <f>(Output!E13)*$C188*F$172</f>
        <v>26671680.000000007</v>
      </c>
      <c r="G188" s="165">
        <f>(Output!F13)*$C188*G$172</f>
        <v>30005640.000000007</v>
      </c>
      <c r="H188" s="165">
        <f>(Output!G13)*$C188*H$172</f>
        <v>33606316.800000012</v>
      </c>
      <c r="I188" s="165">
        <f>(Output!H13)*$C188*I$172</f>
        <v>37492047.180000022</v>
      </c>
      <c r="J188" s="165">
        <f>(Output!I13)*$C188*J$172</f>
        <v>41682334.806000032</v>
      </c>
      <c r="K188" s="72"/>
      <c r="L188" s="72"/>
    </row>
    <row r="189" spans="1:12">
      <c r="A189" s="73" t="str">
        <f>A179</f>
        <v>Red Gram</v>
      </c>
      <c r="B189" s="73" t="s">
        <v>295</v>
      </c>
      <c r="C189" s="165">
        <v>58000</v>
      </c>
      <c r="D189" s="165">
        <f>(Output!C14)*$C189*D$172</f>
        <v>23385600</v>
      </c>
      <c r="E189" s="165">
        <f>(Output!D14)*$C189*E$172</f>
        <v>26601119.999999996</v>
      </c>
      <c r="F189" s="165">
        <f>(Output!E14)*$C189*F$172</f>
        <v>30079728.000000004</v>
      </c>
      <c r="G189" s="165">
        <f>(Output!F14)*$C189*G$172</f>
        <v>33839694.000000007</v>
      </c>
      <c r="H189" s="165">
        <f>(Output!G14)*$C189*H$172</f>
        <v>37900457.280000009</v>
      </c>
      <c r="I189" s="165">
        <f>(Output!H14)*$C189*I$172</f>
        <v>42282697.653000019</v>
      </c>
      <c r="J189" s="165">
        <f>(Output!I14)*$C189*J$172</f>
        <v>47008410.920100026</v>
      </c>
      <c r="K189" s="72"/>
      <c r="L189" s="72"/>
    </row>
    <row r="190" spans="1:12">
      <c r="A190" s="73" t="str">
        <f>A180</f>
        <v>Bengal Gram</v>
      </c>
      <c r="B190" s="73" t="s">
        <v>295</v>
      </c>
      <c r="C190" s="165">
        <v>50000</v>
      </c>
      <c r="D190" s="165">
        <f>(Output!C15)*$C190*D$172</f>
        <v>11520000</v>
      </c>
      <c r="E190" s="165">
        <f>(Output!D15)*$C190*E$172</f>
        <v>13104000.000000002</v>
      </c>
      <c r="F190" s="165">
        <f>(Output!E15)*$C190*F$172</f>
        <v>14817600.000000004</v>
      </c>
      <c r="G190" s="165">
        <f>(Output!F15)*$C190*G$172</f>
        <v>16669800.000000006</v>
      </c>
      <c r="H190" s="165">
        <f>(Output!G15)*$C190*H$172</f>
        <v>18670176.000000007</v>
      </c>
      <c r="I190" s="165">
        <f>(Output!H15)*$C190*I$172</f>
        <v>20828915.100000009</v>
      </c>
      <c r="J190" s="165">
        <f>(Output!I15)*$C190*J$172</f>
        <v>23156852.670000017</v>
      </c>
      <c r="K190" s="72"/>
      <c r="L190" s="72"/>
    </row>
    <row r="191" spans="1:12">
      <c r="A191" s="73" t="str">
        <f>A181</f>
        <v>Wheat</v>
      </c>
      <c r="B191" s="73" t="s">
        <v>295</v>
      </c>
      <c r="C191" s="165">
        <v>18000</v>
      </c>
      <c r="D191" s="165">
        <f>(Output!C16)*$C191*D$172</f>
        <v>1036800</v>
      </c>
      <c r="E191" s="165">
        <f>(Output!D16)*$C191*E$172</f>
        <v>1179360</v>
      </c>
      <c r="F191" s="165">
        <f>(Output!E16)*$C191*F$172</f>
        <v>1333584.0000000002</v>
      </c>
      <c r="G191" s="165">
        <f>(Output!F16)*$C191*G$172</f>
        <v>1500282.0000000005</v>
      </c>
      <c r="H191" s="165">
        <f>(Output!G16)*$C191*H$172</f>
        <v>1680315.8400000005</v>
      </c>
      <c r="I191" s="165">
        <f>(Output!H16)*$C191*I$172</f>
        <v>1874602.3590000011</v>
      </c>
      <c r="J191" s="165">
        <f>(Output!I16)*$C191*J$172</f>
        <v>2084116.7403000016</v>
      </c>
      <c r="K191" s="72"/>
      <c r="L191" s="72"/>
    </row>
    <row r="192" spans="1:12">
      <c r="A192" s="73" t="s">
        <v>308</v>
      </c>
      <c r="B192" s="73">
        <v>3</v>
      </c>
      <c r="C192" s="73">
        <v>300</v>
      </c>
      <c r="D192" s="165">
        <f>Output!C9*$B$192*$C$192*D172</f>
        <v>129600</v>
      </c>
      <c r="E192" s="165">
        <f>Output!D9*$B$192*$C$192*E172</f>
        <v>147420</v>
      </c>
      <c r="F192" s="165">
        <f>Output!E9*$B$192*$C$192*F172</f>
        <v>166698.00000000003</v>
      </c>
      <c r="G192" s="165">
        <f>Output!F9*$B$192*$C$192*G172</f>
        <v>187535.25000000006</v>
      </c>
      <c r="H192" s="165">
        <f>Output!G9*$B$192*$C$192*H172</f>
        <v>210039.48000000007</v>
      </c>
      <c r="I192" s="165">
        <f>Output!H9*$B$192*$C$192*I172</f>
        <v>234325.29487500014</v>
      </c>
      <c r="J192" s="165">
        <f>Output!I9*$B$192*$C$192*J172</f>
        <v>260514.59253750017</v>
      </c>
      <c r="K192" s="72"/>
      <c r="L192" s="72"/>
    </row>
    <row r="193" spans="1:20">
      <c r="A193" s="73" t="s">
        <v>289</v>
      </c>
      <c r="B193" s="73"/>
      <c r="C193" s="73">
        <f>(1000/100)*10</f>
        <v>100</v>
      </c>
      <c r="D193" s="165">
        <f>(Output!C12)*$C$193*D172</f>
        <v>115200</v>
      </c>
      <c r="E193" s="165">
        <f>(Output!D12)*$C$193*E172</f>
        <v>131040</v>
      </c>
      <c r="F193" s="165">
        <f>(Output!E12)*$C$193*F172</f>
        <v>148176.00000000003</v>
      </c>
      <c r="G193" s="165">
        <f>(Output!F12)*$C$193*G172</f>
        <v>166698.00000000006</v>
      </c>
      <c r="H193" s="165">
        <f>(Output!G12)*$C$193*H172</f>
        <v>186701.76000000007</v>
      </c>
      <c r="I193" s="165">
        <f>(Output!H12)*$C$193*I172</f>
        <v>208289.15100000013</v>
      </c>
      <c r="J193" s="165">
        <f>(Output!I12)*$C$193*J172</f>
        <v>231568.52670000016</v>
      </c>
      <c r="K193" s="72"/>
      <c r="L193" s="72"/>
    </row>
    <row r="194" spans="1:20">
      <c r="A194" s="73" t="s">
        <v>722</v>
      </c>
      <c r="B194" s="73"/>
      <c r="C194" s="73"/>
      <c r="D194" s="165"/>
      <c r="E194" s="165"/>
      <c r="F194" s="165"/>
      <c r="G194" s="165"/>
      <c r="H194" s="165"/>
      <c r="I194" s="165"/>
      <c r="J194" s="165"/>
      <c r="K194" s="72"/>
      <c r="L194" s="72"/>
    </row>
    <row r="195" spans="1:20">
      <c r="A195" s="73" t="s">
        <v>295</v>
      </c>
      <c r="B195" s="73"/>
      <c r="C195" s="73">
        <v>300</v>
      </c>
      <c r="D195" s="165">
        <f>SUM(Output!C19:C22)*$C$195*D172</f>
        <v>338688</v>
      </c>
      <c r="E195" s="165">
        <f>SUM(Output!D19:D22)*$C$195*E172</f>
        <v>385257.60000000003</v>
      </c>
      <c r="F195" s="165">
        <f>SUM(Output!E19:E22)*$C$195*F172</f>
        <v>435637.44000000006</v>
      </c>
      <c r="G195" s="165">
        <f>SUM(Output!F19:F22)*$C$195*G172</f>
        <v>490092.12000000005</v>
      </c>
      <c r="H195" s="165">
        <f>SUM(Output!G19:G22)*$C$195*H172</f>
        <v>548903.17440000013</v>
      </c>
      <c r="I195" s="165">
        <f>SUM(Output!H19:H22)*$C$195*I172</f>
        <v>612370.10394000041</v>
      </c>
      <c r="J195" s="165">
        <f>SUM(Output!I19:I22)*$C$195*J172</f>
        <v>680811.46849800041</v>
      </c>
      <c r="K195" s="72"/>
      <c r="L195" s="72"/>
    </row>
    <row r="196" spans="1:20">
      <c r="A196" s="73" t="s">
        <v>760</v>
      </c>
      <c r="B196" s="9"/>
      <c r="C196" s="9">
        <v>500</v>
      </c>
      <c r="D196" s="369">
        <f>(SUM(Output!C19:C22))*$C$196*D172</f>
        <v>564480</v>
      </c>
      <c r="E196" s="369">
        <f>(SUM(Output!D19:D22))*$C$196*E172</f>
        <v>642096</v>
      </c>
      <c r="F196" s="369">
        <f>(SUM(Output!E19:E22))*$C$196*F172</f>
        <v>726062.40000000014</v>
      </c>
      <c r="G196" s="369">
        <f>(SUM(Output!F19:F22))*$C$196*G172</f>
        <v>816820.20000000007</v>
      </c>
      <c r="H196" s="369">
        <f>(SUM(Output!G19:G22))*$C$196*H172</f>
        <v>914838.6240000003</v>
      </c>
      <c r="I196" s="369">
        <f>(SUM(Output!H19:H22))*$C$196*I172</f>
        <v>1020616.8399000006</v>
      </c>
      <c r="J196" s="369">
        <f>(SUM(Output!I19:I22))*$C$196*J172</f>
        <v>1134685.7808300008</v>
      </c>
      <c r="K196" s="72"/>
      <c r="L196" s="72"/>
    </row>
    <row r="197" spans="1:20">
      <c r="A197" s="9"/>
      <c r="B197" s="9"/>
      <c r="C197" s="9"/>
      <c r="D197" s="222"/>
      <c r="E197" s="9"/>
      <c r="F197" s="9"/>
      <c r="G197" s="9"/>
      <c r="H197" s="9"/>
      <c r="I197" s="9"/>
      <c r="J197" s="9"/>
      <c r="K197" s="72">
        <f>63/0.746</f>
        <v>84.450402144772113</v>
      </c>
      <c r="L197" s="72"/>
    </row>
    <row r="198" spans="1:20">
      <c r="A198" s="9"/>
      <c r="B198" s="9"/>
      <c r="C198" s="9"/>
      <c r="D198" s="9"/>
      <c r="E198" s="9"/>
      <c r="F198" s="9"/>
      <c r="G198" s="9"/>
      <c r="H198" s="9"/>
      <c r="I198" s="9"/>
      <c r="J198" s="9"/>
      <c r="K198" s="72"/>
      <c r="L198" s="72"/>
    </row>
    <row r="199" spans="1:20">
      <c r="A199" s="73" t="s">
        <v>336</v>
      </c>
      <c r="B199" s="73"/>
      <c r="C199" s="73"/>
      <c r="D199" s="170"/>
      <c r="E199" s="170">
        <f>'5.Closing Stock &amp; W Capital'!F7</f>
        <v>578263.68000000005</v>
      </c>
      <c r="F199" s="170">
        <f>'5.Closing Stock &amp; W Capital'!G7</f>
        <v>657774.93599999999</v>
      </c>
      <c r="G199" s="170">
        <f>'5.Closing Stock &amp; W Capital'!H7</f>
        <v>743791.65840000019</v>
      </c>
      <c r="H199" s="170">
        <f>'5.Closing Stock &amp; W Capital'!I7</f>
        <v>836765.6157000002</v>
      </c>
      <c r="I199" s="170">
        <f>'5.Closing Stock &amp; W Capital'!J7</f>
        <v>937177.48958400032</v>
      </c>
      <c r="J199" s="170">
        <f>'5.Closing Stock &amp; W Capital'!K7</f>
        <v>1045538.6368171503</v>
      </c>
      <c r="K199" s="72"/>
      <c r="L199" s="72"/>
    </row>
    <row r="200" spans="1:20">
      <c r="A200" s="73" t="s">
        <v>337</v>
      </c>
      <c r="B200" s="73"/>
      <c r="C200" s="170"/>
      <c r="D200" s="170">
        <f>'5.Closing Stock &amp; W Capital'!E16</f>
        <v>578263.68000000005</v>
      </c>
      <c r="E200" s="170">
        <f>'5.Closing Stock &amp; W Capital'!F16</f>
        <v>657774.93599999999</v>
      </c>
      <c r="F200" s="170">
        <f>'5.Closing Stock &amp; W Capital'!G16</f>
        <v>743791.65840000019</v>
      </c>
      <c r="G200" s="170">
        <f>'5.Closing Stock &amp; W Capital'!H16</f>
        <v>836765.6157000002</v>
      </c>
      <c r="H200" s="170">
        <f>'5.Closing Stock &amp; W Capital'!I16</f>
        <v>937177.48958400032</v>
      </c>
      <c r="I200" s="170">
        <f>'5.Closing Stock &amp; W Capital'!J16</f>
        <v>1045538.6368171503</v>
      </c>
      <c r="J200" s="170">
        <f>'5.Closing Stock &amp; W Capital'!K16</f>
        <v>1162392.9550496559</v>
      </c>
      <c r="K200" s="72"/>
      <c r="L200" s="72"/>
    </row>
    <row r="201" spans="1:20">
      <c r="A201" s="73"/>
      <c r="B201" s="73"/>
      <c r="C201" s="168"/>
      <c r="D201" s="170"/>
      <c r="E201" s="170"/>
      <c r="F201" s="170"/>
      <c r="G201" s="170"/>
      <c r="H201" s="170"/>
      <c r="I201" s="170"/>
      <c r="J201" s="170"/>
      <c r="K201" s="72"/>
      <c r="L201" s="72"/>
      <c r="M201" s="72"/>
      <c r="N201" s="72"/>
      <c r="O201" s="72"/>
      <c r="P201" s="72"/>
      <c r="Q201" s="72"/>
      <c r="R201" s="72"/>
      <c r="S201" s="72"/>
      <c r="T201" s="72"/>
    </row>
    <row r="202" spans="1:20">
      <c r="A202" s="75" t="s">
        <v>314</v>
      </c>
      <c r="B202" s="75"/>
      <c r="C202" s="75"/>
      <c r="D202" s="367">
        <f t="shared" ref="D202:J202" si="33">SUM(D188:D199)-D200</f>
        <v>57248104.32</v>
      </c>
      <c r="E202" s="367">
        <f t="shared" si="33"/>
        <v>65697982.344000004</v>
      </c>
      <c r="F202" s="367">
        <f t="shared" si="33"/>
        <v>74293149.117600024</v>
      </c>
      <c r="G202" s="367">
        <f t="shared" si="33"/>
        <v>83583587.612700015</v>
      </c>
      <c r="H202" s="367">
        <f t="shared" si="33"/>
        <v>93617337.084516034</v>
      </c>
      <c r="I202" s="367">
        <f t="shared" si="33"/>
        <v>104445502.53448187</v>
      </c>
      <c r="J202" s="367">
        <f t="shared" si="33"/>
        <v>116122441.1867331</v>
      </c>
      <c r="K202" s="72"/>
      <c r="L202" s="72"/>
      <c r="M202" s="72"/>
      <c r="N202" s="72"/>
      <c r="O202" s="72"/>
      <c r="P202" s="72"/>
      <c r="Q202" s="72"/>
      <c r="R202" s="72"/>
      <c r="S202" s="72"/>
      <c r="T202" s="72"/>
    </row>
    <row r="203" spans="1:20">
      <c r="A203" s="75" t="s">
        <v>306</v>
      </c>
      <c r="B203" s="73"/>
      <c r="C203" s="73"/>
      <c r="D203" s="86"/>
      <c r="E203" s="86"/>
      <c r="F203" s="86"/>
      <c r="G203" s="86"/>
      <c r="H203" s="86"/>
      <c r="I203" s="73"/>
      <c r="J203" s="73"/>
      <c r="K203" s="72"/>
      <c r="L203" s="72"/>
      <c r="M203" s="72"/>
      <c r="N203" s="72"/>
      <c r="O203" s="72"/>
      <c r="P203" s="72"/>
      <c r="Q203" s="72"/>
      <c r="R203" s="72"/>
      <c r="S203" s="72"/>
      <c r="T203" s="72"/>
    </row>
    <row r="204" spans="1:20">
      <c r="A204" s="73" t="s">
        <v>191</v>
      </c>
      <c r="B204" s="73">
        <v>1</v>
      </c>
      <c r="C204" s="165">
        <v>8000</v>
      </c>
      <c r="D204" s="165">
        <f>$B204*$C204*12*D$172</f>
        <v>96000</v>
      </c>
      <c r="E204" s="165">
        <f t="shared" ref="E204:J204" si="34">$B204*$C204*12*E$172</f>
        <v>100800</v>
      </c>
      <c r="F204" s="165">
        <f t="shared" si="34"/>
        <v>105840</v>
      </c>
      <c r="G204" s="165">
        <f t="shared" si="34"/>
        <v>111132.00000000001</v>
      </c>
      <c r="H204" s="165">
        <f t="shared" si="34"/>
        <v>116688.60000000002</v>
      </c>
      <c r="I204" s="165">
        <f t="shared" si="34"/>
        <v>122523.03000000003</v>
      </c>
      <c r="J204" s="165">
        <f t="shared" si="34"/>
        <v>128649.18150000004</v>
      </c>
      <c r="K204" s="72"/>
      <c r="L204" s="72"/>
      <c r="M204" s="72"/>
      <c r="N204" s="158"/>
      <c r="O204" s="72"/>
      <c r="P204" s="72"/>
      <c r="Q204" s="72"/>
      <c r="R204" s="72"/>
      <c r="S204" s="72"/>
      <c r="T204" s="72"/>
    </row>
    <row r="205" spans="1:20">
      <c r="A205" s="73"/>
      <c r="B205" s="73"/>
      <c r="C205" s="165"/>
      <c r="D205" s="165"/>
      <c r="E205" s="165"/>
      <c r="F205" s="165"/>
      <c r="G205" s="165"/>
      <c r="H205" s="165"/>
      <c r="I205" s="165"/>
      <c r="J205" s="165"/>
      <c r="K205" s="72"/>
      <c r="L205" s="72"/>
      <c r="M205" s="72"/>
      <c r="N205" s="72"/>
      <c r="O205" s="72"/>
      <c r="P205" s="72"/>
      <c r="Q205" s="72"/>
      <c r="R205" s="72"/>
      <c r="S205" s="72"/>
      <c r="T205" s="72"/>
    </row>
    <row r="206" spans="1:20">
      <c r="A206" s="73"/>
      <c r="B206" s="73"/>
      <c r="C206" s="165"/>
      <c r="D206" s="165"/>
      <c r="E206" s="165"/>
      <c r="F206" s="165"/>
      <c r="G206" s="165"/>
      <c r="H206" s="165"/>
      <c r="I206" s="165"/>
      <c r="J206" s="165"/>
      <c r="K206" s="72"/>
      <c r="L206" s="72"/>
      <c r="M206" s="72"/>
      <c r="N206" s="72"/>
      <c r="O206" s="72"/>
      <c r="P206" s="72"/>
      <c r="Q206" s="72"/>
      <c r="R206" s="72"/>
      <c r="S206" s="72"/>
      <c r="T206" s="72"/>
    </row>
    <row r="207" spans="1:20">
      <c r="A207" s="73"/>
      <c r="B207" s="73"/>
      <c r="C207" s="165"/>
      <c r="D207" s="165"/>
      <c r="E207" s="165"/>
      <c r="F207" s="165"/>
      <c r="G207" s="165"/>
      <c r="H207" s="165"/>
      <c r="I207" s="165"/>
      <c r="J207" s="165"/>
      <c r="K207" s="72"/>
      <c r="L207" s="72"/>
      <c r="M207" s="72"/>
      <c r="N207" s="72"/>
      <c r="O207" s="72"/>
      <c r="P207" s="72"/>
      <c r="Q207" s="72"/>
      <c r="R207" s="72"/>
      <c r="S207" s="72"/>
      <c r="T207" s="72"/>
    </row>
    <row r="208" spans="1:20">
      <c r="A208" s="73"/>
      <c r="B208" s="73"/>
      <c r="C208" s="165"/>
      <c r="D208" s="165"/>
      <c r="E208" s="165"/>
      <c r="F208" s="165"/>
      <c r="G208" s="165"/>
      <c r="H208" s="165"/>
      <c r="I208" s="165"/>
      <c r="J208" s="165"/>
      <c r="K208" s="72"/>
      <c r="L208" s="72"/>
      <c r="M208" s="72"/>
      <c r="N208" s="72"/>
      <c r="O208" s="72"/>
      <c r="P208" s="72"/>
      <c r="Q208" s="72"/>
      <c r="R208" s="72"/>
      <c r="S208" s="72"/>
      <c r="T208" s="72"/>
    </row>
    <row r="209" spans="1:20">
      <c r="A209" s="75" t="s">
        <v>318</v>
      </c>
      <c r="B209" s="75"/>
      <c r="C209" s="75"/>
      <c r="D209" s="367">
        <f t="shared" ref="D209:J209" si="35">SUM(D204:D208)</f>
        <v>96000</v>
      </c>
      <c r="E209" s="367">
        <f t="shared" si="35"/>
        <v>100800</v>
      </c>
      <c r="F209" s="367">
        <f t="shared" si="35"/>
        <v>105840</v>
      </c>
      <c r="G209" s="367">
        <f t="shared" si="35"/>
        <v>111132.00000000001</v>
      </c>
      <c r="H209" s="367">
        <f t="shared" si="35"/>
        <v>116688.60000000002</v>
      </c>
      <c r="I209" s="367">
        <f t="shared" si="35"/>
        <v>122523.03000000003</v>
      </c>
      <c r="J209" s="367">
        <f t="shared" si="35"/>
        <v>128649.18150000004</v>
      </c>
      <c r="K209" s="72"/>
      <c r="L209" s="72"/>
      <c r="M209" s="72"/>
      <c r="N209" s="158"/>
      <c r="O209" s="72"/>
      <c r="P209" s="72"/>
      <c r="Q209" s="72"/>
      <c r="R209" s="72"/>
      <c r="S209" s="72"/>
      <c r="T209" s="72"/>
    </row>
    <row r="210" spans="1:20">
      <c r="A210" s="75" t="s">
        <v>130</v>
      </c>
      <c r="B210" s="75"/>
      <c r="C210" s="75"/>
      <c r="D210" s="367">
        <f t="shared" ref="D210:J210" si="36">D202+D209</f>
        <v>57344104.32</v>
      </c>
      <c r="E210" s="367">
        <f t="shared" si="36"/>
        <v>65798782.344000004</v>
      </c>
      <c r="F210" s="367">
        <f t="shared" si="36"/>
        <v>74398989.117600024</v>
      </c>
      <c r="G210" s="367">
        <f t="shared" si="36"/>
        <v>83694719.612700015</v>
      </c>
      <c r="H210" s="367">
        <f t="shared" si="36"/>
        <v>93734025.684516028</v>
      </c>
      <c r="I210" s="367">
        <f t="shared" si="36"/>
        <v>104568025.56448187</v>
      </c>
      <c r="J210" s="367">
        <f t="shared" si="36"/>
        <v>116251090.3682331</v>
      </c>
      <c r="K210" s="72"/>
      <c r="L210" s="72"/>
      <c r="M210" s="72"/>
      <c r="N210" s="72"/>
      <c r="O210" s="72"/>
      <c r="P210" s="72"/>
      <c r="Q210" s="72"/>
      <c r="R210" s="72"/>
      <c r="S210" s="72"/>
      <c r="T210" s="72"/>
    </row>
    <row r="211" spans="1:20">
      <c r="A211" s="73"/>
      <c r="B211" s="73"/>
      <c r="C211" s="73"/>
      <c r="D211" s="86"/>
      <c r="E211" s="86"/>
      <c r="F211" s="86"/>
      <c r="G211" s="86"/>
      <c r="H211" s="86"/>
      <c r="I211" s="73"/>
      <c r="J211" s="73"/>
      <c r="K211" s="72"/>
      <c r="L211" s="72"/>
      <c r="M211" s="72"/>
      <c r="N211" s="72"/>
      <c r="O211" s="72"/>
      <c r="P211" s="72"/>
      <c r="Q211" s="72"/>
      <c r="R211" s="72"/>
      <c r="S211" s="72"/>
      <c r="T211" s="72"/>
    </row>
    <row r="212" spans="1:20">
      <c r="A212" s="75"/>
      <c r="B212" s="75"/>
      <c r="C212" s="75"/>
      <c r="D212" s="86"/>
      <c r="E212" s="86"/>
      <c r="F212" s="86"/>
      <c r="G212" s="86"/>
      <c r="H212" s="86"/>
      <c r="I212" s="73"/>
      <c r="J212" s="73"/>
      <c r="K212" s="72"/>
      <c r="L212" s="72"/>
      <c r="M212" s="72"/>
      <c r="N212" s="72"/>
      <c r="O212" s="72"/>
      <c r="P212" s="72"/>
      <c r="Q212" s="72"/>
      <c r="R212" s="72"/>
      <c r="S212" s="72"/>
      <c r="T212" s="72"/>
    </row>
    <row r="213" spans="1:20">
      <c r="A213" s="75" t="s">
        <v>310</v>
      </c>
      <c r="B213" s="75"/>
      <c r="C213" s="75"/>
      <c r="D213" s="367">
        <f t="shared" ref="D213:J213" si="37">D184-D210</f>
        <v>3177747.8399999887</v>
      </c>
      <c r="E213" s="367">
        <f t="shared" si="37"/>
        <v>3686722.9200000092</v>
      </c>
      <c r="F213" s="367">
        <f t="shared" si="37"/>
        <v>4177402.6895999908</v>
      </c>
      <c r="G213" s="367">
        <f t="shared" si="37"/>
        <v>4707933.6288599968</v>
      </c>
      <c r="H213" s="367">
        <f t="shared" si="37"/>
        <v>5281074.1553220153</v>
      </c>
      <c r="I213" s="367">
        <f t="shared" si="37"/>
        <v>5899758.9003581107</v>
      </c>
      <c r="J213" s="367">
        <f t="shared" si="37"/>
        <v>6567109.4345093518</v>
      </c>
      <c r="K213" s="72"/>
      <c r="L213" s="72"/>
      <c r="M213" s="72"/>
      <c r="N213" s="72"/>
      <c r="O213" s="72"/>
      <c r="P213" s="72"/>
      <c r="Q213" s="72"/>
      <c r="R213" s="72"/>
      <c r="S213" s="72"/>
      <c r="T213" s="72"/>
    </row>
    <row r="214" spans="1:20">
      <c r="A214" s="72"/>
      <c r="B214" s="72"/>
      <c r="C214" s="72"/>
      <c r="D214" s="72"/>
      <c r="E214" s="72"/>
      <c r="F214" s="72"/>
      <c r="G214" s="72"/>
      <c r="H214" s="72"/>
      <c r="I214" s="72"/>
      <c r="J214" s="72"/>
    </row>
    <row r="215" spans="1:20">
      <c r="A215" s="72" t="s">
        <v>51</v>
      </c>
      <c r="B215" s="72"/>
      <c r="C215" s="72"/>
      <c r="D215" s="72"/>
      <c r="E215" s="72"/>
      <c r="F215" s="72"/>
      <c r="G215" s="72"/>
      <c r="H215" s="72"/>
      <c r="I215" s="72"/>
      <c r="J215" s="72"/>
    </row>
    <row r="216" spans="1:20">
      <c r="A216" s="410" t="s">
        <v>412</v>
      </c>
      <c r="B216" s="410"/>
      <c r="C216" s="410"/>
      <c r="D216" s="410"/>
      <c r="E216" s="410"/>
      <c r="F216" s="410"/>
      <c r="G216" s="410"/>
      <c r="H216" s="410"/>
      <c r="I216" s="410"/>
      <c r="J216" s="410"/>
    </row>
    <row r="218" spans="1:20">
      <c r="A218" t="s">
        <v>530</v>
      </c>
    </row>
    <row r="219" spans="1:20">
      <c r="A219">
        <v>1</v>
      </c>
      <c r="B219" t="s">
        <v>543</v>
      </c>
    </row>
    <row r="220" spans="1:20">
      <c r="A220">
        <v>2</v>
      </c>
      <c r="B220" t="s">
        <v>544</v>
      </c>
    </row>
    <row r="221" spans="1:20">
      <c r="A221">
        <v>3</v>
      </c>
      <c r="B221" s="72" t="s">
        <v>595</v>
      </c>
    </row>
  </sheetData>
  <mergeCells count="5">
    <mergeCell ref="A170:J170"/>
    <mergeCell ref="A2:H2"/>
    <mergeCell ref="A216:J216"/>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90"/>
  <sheetViews>
    <sheetView view="pageBreakPreview" topLeftCell="A142" zoomScale="80" zoomScaleSheetLayoutView="80" workbookViewId="0">
      <selection activeCell="C164" sqref="C164"/>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 min="11" max="12" width="11.7265625" bestFit="1" customWidth="1"/>
    <col min="15" max="15" width="10.1796875" bestFit="1" customWidth="1"/>
  </cols>
  <sheetData>
    <row r="3" spans="1:8" ht="17.5">
      <c r="A3" s="411" t="s">
        <v>579</v>
      </c>
      <c r="B3" s="411"/>
      <c r="C3" s="411"/>
      <c r="D3" s="411"/>
      <c r="E3" s="411"/>
      <c r="F3" s="411"/>
      <c r="G3" s="411"/>
      <c r="H3" s="411"/>
    </row>
    <row r="4" spans="1:8" ht="17.5">
      <c r="A4" s="411" t="s">
        <v>580</v>
      </c>
      <c r="B4" s="411"/>
      <c r="C4" s="411"/>
      <c r="D4" s="411"/>
      <c r="E4" s="411"/>
      <c r="F4" s="411"/>
      <c r="G4" s="411"/>
      <c r="H4" s="411"/>
    </row>
    <row r="5" spans="1:8">
      <c r="A5" s="72" t="s">
        <v>161</v>
      </c>
      <c r="B5" s="207">
        <f>200/100</f>
        <v>2</v>
      </c>
      <c r="C5" s="72" t="s">
        <v>460</v>
      </c>
      <c r="D5" s="72"/>
      <c r="E5" s="72"/>
      <c r="F5" s="72"/>
      <c r="G5" s="72"/>
      <c r="H5" s="72"/>
    </row>
    <row r="6" spans="1:8">
      <c r="A6" s="72" t="s">
        <v>162</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7">
        <f>B32/($B$5*$B$6)</f>
        <v>0</v>
      </c>
      <c r="C12" s="257">
        <f t="shared" ref="C12:H12" si="0">C32/($B$5*$B$6)</f>
        <v>0</v>
      </c>
      <c r="D12" s="257">
        <f t="shared" si="0"/>
        <v>0</v>
      </c>
      <c r="E12" s="257">
        <f t="shared" si="0"/>
        <v>0</v>
      </c>
      <c r="F12" s="257">
        <f t="shared" si="0"/>
        <v>0</v>
      </c>
      <c r="G12" s="257">
        <f t="shared" si="0"/>
        <v>0</v>
      </c>
      <c r="H12" s="257">
        <f t="shared" si="0"/>
        <v>0</v>
      </c>
    </row>
    <row r="13" spans="1:8">
      <c r="A13" s="73" t="str">
        <f>'10.Grain Production details'!A67</f>
        <v>Soybean</v>
      </c>
      <c r="B13" s="73">
        <f>'10.Grain Production details'!B67</f>
        <v>0</v>
      </c>
      <c r="C13" s="73">
        <f>'10.Grain Production details'!C67</f>
        <v>0</v>
      </c>
      <c r="D13" s="73">
        <f>'10.Grain Production details'!D67</f>
        <v>0</v>
      </c>
      <c r="E13" s="73">
        <f>'10.Grain Production details'!E67</f>
        <v>0</v>
      </c>
      <c r="F13" s="73">
        <f>'10.Grain Production details'!F67</f>
        <v>0</v>
      </c>
      <c r="G13" s="73">
        <f>'10.Grain Production details'!G67</f>
        <v>0</v>
      </c>
      <c r="H13" s="73">
        <f>'10.Grain Production details'!H67</f>
        <v>0</v>
      </c>
    </row>
    <row r="14" spans="1:8">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c r="A15" s="73" t="str">
        <f>'10.Grain Production details'!A69</f>
        <v>Paddy/Rice</v>
      </c>
      <c r="B15" s="73">
        <f>'10.Grain Production details'!B69</f>
        <v>0</v>
      </c>
      <c r="C15" s="73">
        <f>'10.Grain Production details'!C69</f>
        <v>0</v>
      </c>
      <c r="D15" s="73">
        <f>'10.Grain Production details'!D69</f>
        <v>0</v>
      </c>
      <c r="E15" s="73">
        <f>'10.Grain Production details'!E69</f>
        <v>0</v>
      </c>
      <c r="F15" s="73">
        <f>'10.Grain Production details'!F69</f>
        <v>0</v>
      </c>
      <c r="G15" s="73">
        <f>'10.Grain Production details'!G69</f>
        <v>0</v>
      </c>
      <c r="H15" s="73">
        <f>'10.Grain Production details'!H69</f>
        <v>0</v>
      </c>
    </row>
    <row r="16" spans="1:8">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c r="A20" s="73" t="str">
        <f>'10.Grain Production details'!A74</f>
        <v>Jawar</v>
      </c>
      <c r="B20" s="73">
        <f>'10.Grain Production details'!B74</f>
        <v>0</v>
      </c>
      <c r="C20" s="73">
        <f>'10.Grain Production details'!C74</f>
        <v>0</v>
      </c>
      <c r="D20" s="73">
        <f>'10.Grain Production details'!D74</f>
        <v>0</v>
      </c>
      <c r="E20" s="73">
        <f>'10.Grain Production details'!E74</f>
        <v>0</v>
      </c>
      <c r="F20" s="73">
        <f>'10.Grain Production details'!F74</f>
        <v>0</v>
      </c>
      <c r="G20" s="73">
        <f>'10.Grain Production details'!G74</f>
        <v>0</v>
      </c>
      <c r="H20" s="73">
        <f>'10.Grain Production details'!H74</f>
        <v>0</v>
      </c>
    </row>
    <row r="21" spans="1:8">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details'!A76</f>
        <v>Wheat</v>
      </c>
      <c r="B22" s="73">
        <f>'10.Grain Production details'!B76</f>
        <v>0</v>
      </c>
      <c r="C22" s="73">
        <f>'10.Grain Production details'!C76</f>
        <v>0</v>
      </c>
      <c r="D22" s="73">
        <f>'10.Grain Production details'!D76</f>
        <v>0</v>
      </c>
      <c r="E22" s="73">
        <f>'10.Grain Production details'!E76</f>
        <v>0</v>
      </c>
      <c r="F22" s="73">
        <f>'10.Grain Production details'!F76</f>
        <v>0</v>
      </c>
      <c r="G22" s="73">
        <f>'10.Grain Production details'!G76</f>
        <v>0</v>
      </c>
      <c r="H22" s="73">
        <f>'10.Grain Production details'!H76</f>
        <v>0</v>
      </c>
    </row>
    <row r="23" spans="1:8">
      <c r="A23" s="73" t="str">
        <f>'10.Grain Production details'!A77</f>
        <v>Bengal Gram/Channa</v>
      </c>
      <c r="B23" s="73">
        <f>'10.Grain Production details'!B77</f>
        <v>0</v>
      </c>
      <c r="C23" s="73">
        <f>'10.Grain Production details'!C77</f>
        <v>0</v>
      </c>
      <c r="D23" s="73">
        <f>'10.Grain Production details'!D77</f>
        <v>0</v>
      </c>
      <c r="E23" s="73">
        <f>'10.Grain Production details'!E77</f>
        <v>0</v>
      </c>
      <c r="F23" s="73">
        <f>'10.Grain Production details'!F77</f>
        <v>0</v>
      </c>
      <c r="G23" s="73">
        <f>'10.Grain Production details'!G77</f>
        <v>0</v>
      </c>
      <c r="H23" s="73">
        <f>'10.Grain Production details'!H77</f>
        <v>0</v>
      </c>
    </row>
    <row r="24" spans="1:8">
      <c r="A24" s="73" t="str">
        <f>'10.Grain Production details'!A78</f>
        <v>Jawar</v>
      </c>
      <c r="B24" s="73">
        <f>'10.Grain Production details'!B78</f>
        <v>0</v>
      </c>
      <c r="C24" s="73">
        <f>'10.Grain Production details'!C78</f>
        <v>0</v>
      </c>
      <c r="D24" s="73">
        <f>'10.Grain Production details'!D78</f>
        <v>0</v>
      </c>
      <c r="E24" s="73">
        <f>'10.Grain Production details'!E78</f>
        <v>0</v>
      </c>
      <c r="F24" s="73">
        <f>'10.Grain Production details'!F78</f>
        <v>0</v>
      </c>
      <c r="G24" s="73">
        <f>'10.Grain Production details'!G78</f>
        <v>0</v>
      </c>
      <c r="H24" s="73">
        <f>'10.Grain Production details'!H78</f>
        <v>0</v>
      </c>
    </row>
    <row r="25" spans="1:8">
      <c r="A25" s="73" t="str">
        <f>'10.Grain Production details'!A79</f>
        <v>Maize</v>
      </c>
      <c r="B25" s="73">
        <f>'10.Grain Production details'!B79</f>
        <v>0</v>
      </c>
      <c r="C25" s="73">
        <f>'10.Grain Production details'!C79</f>
        <v>0</v>
      </c>
      <c r="D25" s="73">
        <f>'10.Grain Production details'!D79</f>
        <v>0</v>
      </c>
      <c r="E25" s="73">
        <f>'10.Grain Production details'!E79</f>
        <v>0</v>
      </c>
      <c r="F25" s="73">
        <f>'10.Grain Production details'!F79</f>
        <v>0</v>
      </c>
      <c r="G25" s="73">
        <f>'10.Grain Production details'!G79</f>
        <v>0</v>
      </c>
      <c r="H25" s="73">
        <f>'10.Grain Production details'!H79</f>
        <v>0</v>
      </c>
    </row>
    <row r="26" spans="1:8">
      <c r="A26" s="73" t="str">
        <f>'10.Grain Production details'!A80</f>
        <v>Safflower</v>
      </c>
      <c r="B26" s="73">
        <f>'10.Grain Production details'!B80</f>
        <v>0</v>
      </c>
      <c r="C26" s="73">
        <f>'10.Grain Production details'!C80</f>
        <v>0</v>
      </c>
      <c r="D26" s="73">
        <f>'10.Grain Production details'!D80</f>
        <v>0</v>
      </c>
      <c r="E26" s="73">
        <f>'10.Grain Production details'!E80</f>
        <v>0</v>
      </c>
      <c r="F26" s="73">
        <f>'10.Grain Production details'!F80</f>
        <v>0</v>
      </c>
      <c r="G26" s="73">
        <f>'10.Grain Production details'!G80</f>
        <v>0</v>
      </c>
      <c r="H26" s="73">
        <f>'10.Grain Production details'!H80</f>
        <v>0</v>
      </c>
    </row>
    <row r="27" spans="1:8">
      <c r="A27" s="73">
        <f>'10.Grain Production details'!A81</f>
        <v>0</v>
      </c>
      <c r="B27" s="73">
        <f>'10.Grain Production details'!B81</f>
        <v>0</v>
      </c>
      <c r="C27" s="73">
        <f>'10.Grain Production details'!C81</f>
        <v>0</v>
      </c>
      <c r="D27" s="73">
        <f>'10.Grain Production details'!D81</f>
        <v>0</v>
      </c>
      <c r="E27" s="73">
        <f>'10.Grain Production details'!E81</f>
        <v>0</v>
      </c>
      <c r="F27" s="73">
        <f>'10.Grain Production details'!F81</f>
        <v>0</v>
      </c>
      <c r="G27" s="73">
        <f>'10.Grain Production details'!G81</f>
        <v>0</v>
      </c>
      <c r="H27" s="73">
        <f>'10.Grain Production details'!H81</f>
        <v>0</v>
      </c>
    </row>
    <row r="28" spans="1:8">
      <c r="A28" s="73">
        <f>'10.Grain Production details'!A82</f>
        <v>0</v>
      </c>
      <c r="B28" s="73">
        <f>'10.Grain Production details'!B82</f>
        <v>0</v>
      </c>
      <c r="C28" s="73">
        <f>'10.Grain Production details'!C82</f>
        <v>0</v>
      </c>
      <c r="D28" s="73">
        <f>'10.Grain Production details'!D82</f>
        <v>0</v>
      </c>
      <c r="E28" s="73">
        <f>'10.Grain Production details'!E82</f>
        <v>0</v>
      </c>
      <c r="F28" s="73">
        <f>'10.Grain Production details'!F82</f>
        <v>0</v>
      </c>
      <c r="G28" s="73">
        <f>'10.Grain Production details'!G82</f>
        <v>0</v>
      </c>
      <c r="H28" s="73">
        <f>'10.Grain Production details'!H82</f>
        <v>0</v>
      </c>
    </row>
    <row r="29" spans="1:8">
      <c r="A29" s="73">
        <f>'10.Grain Production details'!A83</f>
        <v>0</v>
      </c>
      <c r="B29" s="73">
        <f>'10.Grain Production details'!B83</f>
        <v>0</v>
      </c>
      <c r="C29" s="73">
        <f>'10.Grain Production details'!C83</f>
        <v>0</v>
      </c>
      <c r="D29" s="73">
        <f>'10.Grain Production details'!D83</f>
        <v>0</v>
      </c>
      <c r="E29" s="73">
        <f>'10.Grain Production details'!E83</f>
        <v>0</v>
      </c>
      <c r="F29" s="73">
        <f>'10.Grain Production details'!F83</f>
        <v>0</v>
      </c>
      <c r="G29" s="73">
        <f>'10.Grain Production details'!G83</f>
        <v>0</v>
      </c>
      <c r="H29" s="73">
        <f>'10.Grain Production details'!H83</f>
        <v>0</v>
      </c>
    </row>
    <row r="30" spans="1:8">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451</v>
      </c>
      <c r="B32" s="73">
        <f>SUM(B13:B31)</f>
        <v>0</v>
      </c>
      <c r="C32" s="73">
        <f t="shared" ref="C32:H32" si="1">SUM(C13:C31)</f>
        <v>0</v>
      </c>
      <c r="D32" s="73">
        <f t="shared" si="1"/>
        <v>0</v>
      </c>
      <c r="E32" s="73">
        <f t="shared" si="1"/>
        <v>0</v>
      </c>
      <c r="F32" s="73">
        <f t="shared" si="1"/>
        <v>0</v>
      </c>
      <c r="G32" s="73">
        <f t="shared" si="1"/>
        <v>0</v>
      </c>
      <c r="H32" s="73">
        <f t="shared" si="1"/>
        <v>0</v>
      </c>
    </row>
    <row r="33" spans="1:8">
      <c r="A33" s="262" t="s">
        <v>165</v>
      </c>
      <c r="B33" s="233">
        <v>0.5</v>
      </c>
      <c r="C33" s="233">
        <f>B33</f>
        <v>0.5</v>
      </c>
      <c r="D33" s="233">
        <f t="shared" ref="D33:H33" si="2">C33</f>
        <v>0.5</v>
      </c>
      <c r="E33" s="233">
        <f t="shared" si="2"/>
        <v>0.5</v>
      </c>
      <c r="F33" s="233">
        <f t="shared" si="2"/>
        <v>0.5</v>
      </c>
      <c r="G33" s="233">
        <f t="shared" si="2"/>
        <v>0.5</v>
      </c>
      <c r="H33" s="233">
        <f t="shared" si="2"/>
        <v>0.5</v>
      </c>
    </row>
    <row r="34" spans="1:8">
      <c r="A34" s="73" t="s">
        <v>461</v>
      </c>
      <c r="B34" s="160">
        <f>1-B33</f>
        <v>0.5</v>
      </c>
      <c r="C34" s="160">
        <f t="shared" ref="C34:H34" si="3">1-C33</f>
        <v>0.5</v>
      </c>
      <c r="D34" s="160">
        <f t="shared" si="3"/>
        <v>0.5</v>
      </c>
      <c r="E34" s="160">
        <f t="shared" si="3"/>
        <v>0.5</v>
      </c>
      <c r="F34" s="160">
        <f t="shared" si="3"/>
        <v>0.5</v>
      </c>
      <c r="G34" s="160">
        <f t="shared" si="3"/>
        <v>0.5</v>
      </c>
      <c r="H34" s="160">
        <f t="shared" si="3"/>
        <v>0.5</v>
      </c>
    </row>
    <row r="35" spans="1:8">
      <c r="A35" s="75" t="s">
        <v>165</v>
      </c>
      <c r="B35" s="218">
        <f>B32*B33</f>
        <v>0</v>
      </c>
      <c r="C35" s="218">
        <f t="shared" ref="C35:H35" si="4">C32*C33</f>
        <v>0</v>
      </c>
      <c r="D35" s="218">
        <f t="shared" si="4"/>
        <v>0</v>
      </c>
      <c r="E35" s="218">
        <f t="shared" si="4"/>
        <v>0</v>
      </c>
      <c r="F35" s="218">
        <f t="shared" si="4"/>
        <v>0</v>
      </c>
      <c r="G35" s="218">
        <f t="shared" si="4"/>
        <v>0</v>
      </c>
      <c r="H35" s="218">
        <f t="shared" si="4"/>
        <v>0</v>
      </c>
    </row>
    <row r="36" spans="1:8">
      <c r="A36" s="75" t="s">
        <v>166</v>
      </c>
      <c r="B36" s="91"/>
      <c r="C36" s="91"/>
      <c r="D36" s="91"/>
      <c r="E36" s="91"/>
      <c r="F36" s="91"/>
      <c r="G36" s="91"/>
      <c r="H36" s="91"/>
    </row>
    <row r="37" spans="1:8">
      <c r="A37" s="73" t="str">
        <f t="shared" ref="A37:A55" si="5">A13</f>
        <v>Soybean</v>
      </c>
      <c r="B37" s="74">
        <f t="shared" ref="B37:B55" si="6">B13*$B$34</f>
        <v>0</v>
      </c>
      <c r="C37" s="74">
        <f t="shared" ref="C37:H37" si="7">C13*$B$34</f>
        <v>0</v>
      </c>
      <c r="D37" s="74">
        <f t="shared" si="7"/>
        <v>0</v>
      </c>
      <c r="E37" s="74">
        <f t="shared" si="7"/>
        <v>0</v>
      </c>
      <c r="F37" s="74">
        <f t="shared" si="7"/>
        <v>0</v>
      </c>
      <c r="G37" s="74">
        <f t="shared" si="7"/>
        <v>0</v>
      </c>
      <c r="H37" s="74">
        <f t="shared" si="7"/>
        <v>0</v>
      </c>
    </row>
    <row r="38" spans="1:8">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c r="A39" s="73" t="str">
        <f t="shared" si="5"/>
        <v>Paddy/Rice</v>
      </c>
      <c r="B39" s="74">
        <f t="shared" si="6"/>
        <v>0</v>
      </c>
      <c r="C39" s="74">
        <f t="shared" si="8"/>
        <v>0</v>
      </c>
      <c r="D39" s="74">
        <f t="shared" si="9"/>
        <v>0</v>
      </c>
      <c r="E39" s="74">
        <f t="shared" si="10"/>
        <v>0</v>
      </c>
      <c r="F39" s="74">
        <f t="shared" si="11"/>
        <v>0</v>
      </c>
      <c r="G39" s="74">
        <f t="shared" si="12"/>
        <v>0</v>
      </c>
      <c r="H39" s="74">
        <f t="shared" si="13"/>
        <v>0</v>
      </c>
    </row>
    <row r="40" spans="1:8">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c r="A44" s="73" t="str">
        <f t="shared" si="5"/>
        <v>Jawar</v>
      </c>
      <c r="B44" s="74">
        <f t="shared" si="6"/>
        <v>0</v>
      </c>
      <c r="C44" s="74">
        <f t="shared" si="8"/>
        <v>0</v>
      </c>
      <c r="D44" s="74">
        <f t="shared" si="9"/>
        <v>0</v>
      </c>
      <c r="E44" s="74">
        <f t="shared" si="10"/>
        <v>0</v>
      </c>
      <c r="F44" s="74">
        <f t="shared" si="11"/>
        <v>0</v>
      </c>
      <c r="G44" s="74">
        <f t="shared" si="12"/>
        <v>0</v>
      </c>
      <c r="H44" s="74">
        <f t="shared" si="13"/>
        <v>0</v>
      </c>
    </row>
    <row r="45" spans="1:8">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Wheat</v>
      </c>
      <c r="B46" s="74">
        <f t="shared" si="6"/>
        <v>0</v>
      </c>
      <c r="C46" s="74">
        <f t="shared" si="8"/>
        <v>0</v>
      </c>
      <c r="D46" s="74">
        <f t="shared" si="9"/>
        <v>0</v>
      </c>
      <c r="E46" s="74">
        <f t="shared" si="10"/>
        <v>0</v>
      </c>
      <c r="F46" s="74">
        <f t="shared" si="11"/>
        <v>0</v>
      </c>
      <c r="G46" s="74">
        <f t="shared" si="12"/>
        <v>0</v>
      </c>
      <c r="H46" s="74">
        <f t="shared" si="13"/>
        <v>0</v>
      </c>
    </row>
    <row r="47" spans="1:8">
      <c r="A47" s="73" t="str">
        <f t="shared" si="5"/>
        <v>Bengal Gram/Channa</v>
      </c>
      <c r="B47" s="74">
        <f t="shared" si="6"/>
        <v>0</v>
      </c>
      <c r="C47" s="74">
        <f t="shared" si="8"/>
        <v>0</v>
      </c>
      <c r="D47" s="74">
        <f t="shared" si="9"/>
        <v>0</v>
      </c>
      <c r="E47" s="74">
        <f t="shared" si="10"/>
        <v>0</v>
      </c>
      <c r="F47" s="74">
        <f t="shared" si="11"/>
        <v>0</v>
      </c>
      <c r="G47" s="74">
        <f t="shared" si="12"/>
        <v>0</v>
      </c>
      <c r="H47" s="74">
        <f t="shared" si="13"/>
        <v>0</v>
      </c>
    </row>
    <row r="48" spans="1:8">
      <c r="A48" s="73" t="str">
        <f t="shared" si="5"/>
        <v>Jawar</v>
      </c>
      <c r="B48" s="74">
        <f t="shared" si="6"/>
        <v>0</v>
      </c>
      <c r="C48" s="74">
        <f t="shared" si="8"/>
        <v>0</v>
      </c>
      <c r="D48" s="74">
        <f t="shared" si="9"/>
        <v>0</v>
      </c>
      <c r="E48" s="74">
        <f t="shared" si="10"/>
        <v>0</v>
      </c>
      <c r="F48" s="74">
        <f t="shared" si="11"/>
        <v>0</v>
      </c>
      <c r="G48" s="74">
        <f t="shared" si="12"/>
        <v>0</v>
      </c>
      <c r="H48" s="74">
        <f t="shared" si="13"/>
        <v>0</v>
      </c>
    </row>
    <row r="49" spans="1:8">
      <c r="A49" s="73" t="str">
        <f t="shared" si="5"/>
        <v>Maize</v>
      </c>
      <c r="B49" s="74">
        <f t="shared" si="6"/>
        <v>0</v>
      </c>
      <c r="C49" s="74">
        <f t="shared" si="8"/>
        <v>0</v>
      </c>
      <c r="D49" s="74">
        <f t="shared" si="9"/>
        <v>0</v>
      </c>
      <c r="E49" s="74">
        <f t="shared" si="10"/>
        <v>0</v>
      </c>
      <c r="F49" s="74">
        <f t="shared" si="11"/>
        <v>0</v>
      </c>
      <c r="G49" s="74">
        <f t="shared" si="12"/>
        <v>0</v>
      </c>
      <c r="H49" s="74">
        <f t="shared" si="13"/>
        <v>0</v>
      </c>
    </row>
    <row r="50" spans="1:8">
      <c r="A50" s="73" t="str">
        <f t="shared" si="5"/>
        <v>Safflower</v>
      </c>
      <c r="B50" s="74">
        <f t="shared" si="6"/>
        <v>0</v>
      </c>
      <c r="C50" s="74">
        <f t="shared" si="8"/>
        <v>0</v>
      </c>
      <c r="D50" s="74">
        <f t="shared" si="9"/>
        <v>0</v>
      </c>
      <c r="E50" s="74">
        <f t="shared" si="10"/>
        <v>0</v>
      </c>
      <c r="F50" s="74">
        <f t="shared" si="11"/>
        <v>0</v>
      </c>
      <c r="G50" s="74">
        <f t="shared" si="12"/>
        <v>0</v>
      </c>
      <c r="H50" s="74">
        <f t="shared" si="13"/>
        <v>0</v>
      </c>
    </row>
    <row r="51" spans="1:8">
      <c r="A51" s="73">
        <f t="shared" si="5"/>
        <v>0</v>
      </c>
      <c r="B51" s="74">
        <f t="shared" si="6"/>
        <v>0</v>
      </c>
      <c r="C51" s="74">
        <f t="shared" si="8"/>
        <v>0</v>
      </c>
      <c r="D51" s="74">
        <f t="shared" si="9"/>
        <v>0</v>
      </c>
      <c r="E51" s="74">
        <f t="shared" si="10"/>
        <v>0</v>
      </c>
      <c r="F51" s="74">
        <f t="shared" si="11"/>
        <v>0</v>
      </c>
      <c r="G51" s="74">
        <f t="shared" si="12"/>
        <v>0</v>
      </c>
      <c r="H51" s="74">
        <f t="shared" si="13"/>
        <v>0</v>
      </c>
    </row>
    <row r="52" spans="1:8">
      <c r="A52" s="73">
        <f t="shared" si="5"/>
        <v>0</v>
      </c>
      <c r="B52" s="74">
        <f t="shared" si="6"/>
        <v>0</v>
      </c>
      <c r="C52" s="74">
        <f t="shared" si="8"/>
        <v>0</v>
      </c>
      <c r="D52" s="74">
        <f t="shared" si="9"/>
        <v>0</v>
      </c>
      <c r="E52" s="74">
        <f t="shared" si="10"/>
        <v>0</v>
      </c>
      <c r="F52" s="74">
        <f t="shared" si="11"/>
        <v>0</v>
      </c>
      <c r="G52" s="74">
        <f t="shared" si="12"/>
        <v>0</v>
      </c>
      <c r="H52" s="74">
        <f t="shared" si="13"/>
        <v>0</v>
      </c>
    </row>
    <row r="53" spans="1:8">
      <c r="A53" s="73">
        <f t="shared" si="5"/>
        <v>0</v>
      </c>
      <c r="B53" s="74">
        <f t="shared" si="6"/>
        <v>0</v>
      </c>
      <c r="C53" s="74">
        <f t="shared" si="8"/>
        <v>0</v>
      </c>
      <c r="D53" s="74">
        <f t="shared" si="9"/>
        <v>0</v>
      </c>
      <c r="E53" s="74">
        <f t="shared" si="10"/>
        <v>0</v>
      </c>
      <c r="F53" s="74">
        <f t="shared" si="11"/>
        <v>0</v>
      </c>
      <c r="G53" s="74">
        <f t="shared" si="12"/>
        <v>0</v>
      </c>
      <c r="H53" s="74">
        <f t="shared" si="13"/>
        <v>0</v>
      </c>
    </row>
    <row r="54" spans="1:8">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283</v>
      </c>
      <c r="B57" s="73"/>
      <c r="C57" s="73"/>
      <c r="D57" s="73"/>
      <c r="E57" s="73"/>
      <c r="F57" s="73"/>
      <c r="G57" s="73"/>
      <c r="H57" s="73"/>
    </row>
    <row r="58" spans="1:8">
      <c r="A58" s="73" t="str">
        <f>A37</f>
        <v>Soybean</v>
      </c>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row r="61" spans="1:8">
      <c r="A61" s="73"/>
      <c r="B61" s="73"/>
      <c r="C61" s="73"/>
      <c r="D61" s="73"/>
      <c r="E61" s="73"/>
      <c r="F61" s="73"/>
      <c r="G61" s="73"/>
      <c r="H61" s="73"/>
    </row>
    <row r="62" spans="1:8">
      <c r="A62" s="73" t="str">
        <f>A38</f>
        <v>Red Gram/Tur</v>
      </c>
      <c r="B62" s="161"/>
      <c r="C62" s="161"/>
      <c r="D62" s="161"/>
      <c r="E62" s="161"/>
      <c r="F62" s="161"/>
      <c r="G62" s="161"/>
      <c r="H62" s="161"/>
    </row>
    <row r="63" spans="1:8">
      <c r="A63" s="73" t="s">
        <v>452</v>
      </c>
      <c r="B63" s="161">
        <f>B38*80%</f>
        <v>0</v>
      </c>
      <c r="C63" s="161">
        <f t="shared" ref="C63:H63" si="14">C38*80%</f>
        <v>0</v>
      </c>
      <c r="D63" s="161">
        <f t="shared" si="14"/>
        <v>0</v>
      </c>
      <c r="E63" s="161">
        <f t="shared" si="14"/>
        <v>0</v>
      </c>
      <c r="F63" s="161">
        <f t="shared" si="14"/>
        <v>0</v>
      </c>
      <c r="G63" s="161">
        <f t="shared" si="14"/>
        <v>0</v>
      </c>
      <c r="H63" s="161">
        <f t="shared" si="14"/>
        <v>0</v>
      </c>
    </row>
    <row r="64" spans="1:8">
      <c r="A64" s="73" t="s">
        <v>142</v>
      </c>
      <c r="B64" s="161">
        <f>B38*20%</f>
        <v>0</v>
      </c>
      <c r="C64" s="161">
        <f t="shared" ref="C64:H64" si="15">C38*20%</f>
        <v>0</v>
      </c>
      <c r="D64" s="161">
        <f t="shared" si="15"/>
        <v>0</v>
      </c>
      <c r="E64" s="161">
        <f t="shared" si="15"/>
        <v>0</v>
      </c>
      <c r="F64" s="161">
        <f t="shared" si="15"/>
        <v>0</v>
      </c>
      <c r="G64" s="161">
        <f t="shared" si="15"/>
        <v>0</v>
      </c>
      <c r="H64" s="161">
        <f t="shared" si="15"/>
        <v>0</v>
      </c>
    </row>
    <row r="65" spans="1:8">
      <c r="A65" s="73" t="str">
        <f>A39</f>
        <v>Paddy/Rice</v>
      </c>
      <c r="B65" s="74"/>
      <c r="C65" s="74"/>
      <c r="D65" s="74"/>
      <c r="E65" s="74"/>
      <c r="F65" s="74"/>
      <c r="G65" s="74"/>
      <c r="H65" s="74"/>
    </row>
    <row r="66" spans="1:8">
      <c r="A66" s="73"/>
      <c r="B66" s="74"/>
      <c r="C66" s="74"/>
      <c r="D66" s="74"/>
      <c r="E66" s="74"/>
      <c r="F66" s="74"/>
      <c r="G66" s="74"/>
      <c r="H66" s="74"/>
    </row>
    <row r="67" spans="1:8">
      <c r="A67" s="73"/>
      <c r="B67" s="74"/>
      <c r="C67" s="74"/>
      <c r="D67" s="74"/>
      <c r="E67" s="74"/>
      <c r="F67" s="74"/>
      <c r="G67" s="74"/>
      <c r="H67" s="74"/>
    </row>
    <row r="68" spans="1:8">
      <c r="A68" s="73"/>
      <c r="B68" s="74"/>
      <c r="C68" s="74"/>
      <c r="D68" s="74"/>
      <c r="E68" s="74"/>
      <c r="F68" s="74"/>
      <c r="G68" s="74"/>
      <c r="H68" s="74"/>
    </row>
    <row r="69" spans="1:8">
      <c r="A69" s="73" t="str">
        <f>A40</f>
        <v>Green Gram/ Moong</v>
      </c>
      <c r="B69" s="74"/>
      <c r="C69" s="74"/>
      <c r="D69" s="74"/>
      <c r="E69" s="74"/>
      <c r="F69" s="74"/>
      <c r="G69" s="74"/>
      <c r="H69" s="74"/>
    </row>
    <row r="70" spans="1:8">
      <c r="A70" s="73" t="s">
        <v>452</v>
      </c>
      <c r="B70" s="74">
        <f>B40*80%</f>
        <v>0</v>
      </c>
      <c r="C70" s="74">
        <f t="shared" ref="C70:H70" si="16">C40*80%</f>
        <v>0</v>
      </c>
      <c r="D70" s="74">
        <f t="shared" si="16"/>
        <v>0</v>
      </c>
      <c r="E70" s="74">
        <f t="shared" si="16"/>
        <v>0</v>
      </c>
      <c r="F70" s="74">
        <f t="shared" si="16"/>
        <v>0</v>
      </c>
      <c r="G70" s="74">
        <f t="shared" si="16"/>
        <v>0</v>
      </c>
      <c r="H70" s="74">
        <f t="shared" si="16"/>
        <v>0</v>
      </c>
    </row>
    <row r="71" spans="1:8">
      <c r="A71" s="73" t="s">
        <v>142</v>
      </c>
      <c r="B71" s="74">
        <f>B40*20%</f>
        <v>0</v>
      </c>
      <c r="C71" s="74">
        <f t="shared" ref="C71:H71" si="17">C40*20%</f>
        <v>0</v>
      </c>
      <c r="D71" s="74">
        <f t="shared" si="17"/>
        <v>0</v>
      </c>
      <c r="E71" s="74">
        <f t="shared" si="17"/>
        <v>0</v>
      </c>
      <c r="F71" s="74">
        <f t="shared" si="17"/>
        <v>0</v>
      </c>
      <c r="G71" s="74">
        <f t="shared" si="17"/>
        <v>0</v>
      </c>
      <c r="H71" s="74">
        <f t="shared" si="17"/>
        <v>0</v>
      </c>
    </row>
    <row r="72" spans="1:8">
      <c r="A72" s="73" t="str">
        <f>A41</f>
        <v>Maize</v>
      </c>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c r="B75" s="74"/>
      <c r="C75" s="74"/>
      <c r="D75" s="74"/>
      <c r="E75" s="74"/>
      <c r="F75" s="74"/>
      <c r="G75" s="74"/>
      <c r="H75" s="74"/>
    </row>
    <row r="76" spans="1:8">
      <c r="A76" s="73"/>
      <c r="B76" s="74"/>
      <c r="C76" s="74"/>
      <c r="D76" s="74"/>
      <c r="E76" s="74"/>
      <c r="F76" s="74"/>
      <c r="G76" s="74"/>
      <c r="H76" s="74"/>
    </row>
    <row r="77" spans="1:8">
      <c r="A77" s="73" t="str">
        <f>A42</f>
        <v>Black Gram/Udid</v>
      </c>
      <c r="B77" s="74"/>
      <c r="C77" s="74"/>
      <c r="D77" s="74"/>
      <c r="E77" s="74"/>
      <c r="F77" s="74"/>
      <c r="G77" s="74"/>
      <c r="H77" s="74"/>
    </row>
    <row r="78" spans="1:8">
      <c r="A78" s="73" t="s">
        <v>452</v>
      </c>
      <c r="B78" s="74">
        <f t="shared" ref="B78:H78" si="18">B42*80%</f>
        <v>0</v>
      </c>
      <c r="C78" s="74">
        <f t="shared" si="18"/>
        <v>0</v>
      </c>
      <c r="D78" s="74">
        <f t="shared" si="18"/>
        <v>0</v>
      </c>
      <c r="E78" s="74">
        <f t="shared" si="18"/>
        <v>0</v>
      </c>
      <c r="F78" s="74">
        <f t="shared" si="18"/>
        <v>0</v>
      </c>
      <c r="G78" s="74">
        <f t="shared" si="18"/>
        <v>0</v>
      </c>
      <c r="H78" s="74">
        <f t="shared" si="18"/>
        <v>0</v>
      </c>
    </row>
    <row r="79" spans="1:8">
      <c r="A79" s="73" t="s">
        <v>142</v>
      </c>
      <c r="B79" s="74">
        <f t="shared" ref="B79:H79" si="19">B42*20%</f>
        <v>0</v>
      </c>
      <c r="C79" s="74">
        <f t="shared" si="19"/>
        <v>0</v>
      </c>
      <c r="D79" s="74">
        <f t="shared" si="19"/>
        <v>0</v>
      </c>
      <c r="E79" s="74">
        <f t="shared" si="19"/>
        <v>0</v>
      </c>
      <c r="F79" s="74">
        <f t="shared" si="19"/>
        <v>0</v>
      </c>
      <c r="G79" s="74">
        <f t="shared" si="19"/>
        <v>0</v>
      </c>
      <c r="H79" s="74">
        <f t="shared" si="19"/>
        <v>0</v>
      </c>
    </row>
    <row r="80" spans="1:8">
      <c r="A80" s="73" t="str">
        <f>A43</f>
        <v>Bajra</v>
      </c>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A44</f>
        <v>Jawar</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t="str">
        <f>A45</f>
        <v>Sunflower</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t="str">
        <f>A46</f>
        <v>Wheat</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t="str">
        <f>A47</f>
        <v>Bengal Gram/Channa</v>
      </c>
      <c r="B94" s="74"/>
      <c r="C94" s="74"/>
      <c r="D94" s="74"/>
      <c r="E94" s="74"/>
      <c r="F94" s="74"/>
      <c r="G94" s="74"/>
      <c r="H94" s="74"/>
    </row>
    <row r="95" spans="1:8">
      <c r="A95" s="73" t="s">
        <v>452</v>
      </c>
      <c r="B95" s="74">
        <f t="shared" ref="B95:H95" si="20">B47*80%</f>
        <v>0</v>
      </c>
      <c r="C95" s="74">
        <f t="shared" si="20"/>
        <v>0</v>
      </c>
      <c r="D95" s="74">
        <f t="shared" si="20"/>
        <v>0</v>
      </c>
      <c r="E95" s="74">
        <f t="shared" si="20"/>
        <v>0</v>
      </c>
      <c r="F95" s="74">
        <f t="shared" si="20"/>
        <v>0</v>
      </c>
      <c r="G95" s="74">
        <f t="shared" si="20"/>
        <v>0</v>
      </c>
      <c r="H95" s="74">
        <f t="shared" si="20"/>
        <v>0</v>
      </c>
    </row>
    <row r="96" spans="1:8">
      <c r="A96" s="73" t="s">
        <v>142</v>
      </c>
      <c r="B96" s="74">
        <f t="shared" ref="B96:H96" si="21">B47*20%</f>
        <v>0</v>
      </c>
      <c r="C96" s="74">
        <f t="shared" si="21"/>
        <v>0</v>
      </c>
      <c r="D96" s="74">
        <f t="shared" si="21"/>
        <v>0</v>
      </c>
      <c r="E96" s="74">
        <f t="shared" si="21"/>
        <v>0</v>
      </c>
      <c r="F96" s="74">
        <f t="shared" si="21"/>
        <v>0</v>
      </c>
      <c r="G96" s="74">
        <f t="shared" si="21"/>
        <v>0</v>
      </c>
      <c r="H96" s="74">
        <f t="shared" si="21"/>
        <v>0</v>
      </c>
    </row>
    <row r="97" spans="1:8">
      <c r="A97" s="73" t="str">
        <f>A48</f>
        <v>Jawar</v>
      </c>
      <c r="B97" s="74"/>
      <c r="C97" s="74"/>
      <c r="D97" s="74"/>
      <c r="E97" s="74"/>
      <c r="F97" s="74"/>
      <c r="G97" s="74"/>
      <c r="H97" s="74"/>
    </row>
    <row r="98" spans="1:8">
      <c r="A98" s="73"/>
      <c r="B98" s="74"/>
      <c r="C98" s="74"/>
      <c r="D98" s="74"/>
      <c r="E98" s="74"/>
      <c r="F98" s="74"/>
      <c r="G98" s="74"/>
      <c r="H98" s="74"/>
    </row>
    <row r="99" spans="1:8">
      <c r="A99" s="73"/>
      <c r="B99" s="74"/>
      <c r="C99" s="74"/>
      <c r="D99" s="74"/>
      <c r="E99" s="74"/>
      <c r="F99" s="74"/>
      <c r="G99" s="74"/>
      <c r="H99" s="74"/>
    </row>
    <row r="100" spans="1:8">
      <c r="A100" s="73" t="str">
        <f>A49</f>
        <v>Maize</v>
      </c>
      <c r="B100" s="74"/>
      <c r="C100" s="74"/>
      <c r="D100" s="74"/>
      <c r="E100" s="74"/>
      <c r="F100" s="74"/>
      <c r="G100" s="74"/>
      <c r="H100" s="74"/>
    </row>
    <row r="101" spans="1:8">
      <c r="A101" s="73"/>
      <c r="B101" s="74"/>
      <c r="C101" s="74"/>
      <c r="D101" s="74"/>
      <c r="E101" s="74"/>
      <c r="F101" s="74"/>
      <c r="G101" s="74"/>
      <c r="H101" s="74"/>
    </row>
    <row r="102" spans="1:8">
      <c r="A102" s="73"/>
      <c r="B102" s="74"/>
      <c r="C102" s="74"/>
      <c r="D102" s="74"/>
      <c r="E102" s="74"/>
      <c r="F102" s="74"/>
      <c r="G102" s="74"/>
      <c r="H102" s="74"/>
    </row>
    <row r="103" spans="1:8">
      <c r="A103" s="73" t="str">
        <f>A50</f>
        <v>Safflower</v>
      </c>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f>A51</f>
        <v>0</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f>A52</f>
        <v>0</v>
      </c>
      <c r="B109" s="74"/>
      <c r="C109" s="74"/>
      <c r="D109" s="74"/>
      <c r="E109" s="74"/>
      <c r="F109" s="74"/>
      <c r="G109" s="74"/>
      <c r="H109" s="74"/>
    </row>
    <row r="110" spans="1:8">
      <c r="A110" s="73"/>
      <c r="B110" s="74"/>
      <c r="C110" s="74"/>
      <c r="D110" s="74"/>
      <c r="E110" s="74"/>
      <c r="F110" s="74"/>
      <c r="G110" s="74"/>
      <c r="H110" s="74"/>
    </row>
    <row r="111" spans="1:8">
      <c r="A111" s="73"/>
      <c r="B111" s="74"/>
      <c r="C111" s="74"/>
      <c r="D111" s="74"/>
      <c r="E111" s="74"/>
      <c r="F111" s="74"/>
      <c r="G111" s="74"/>
      <c r="H111" s="74"/>
    </row>
    <row r="112" spans="1:8">
      <c r="A112" s="73">
        <f>A53</f>
        <v>0</v>
      </c>
      <c r="B112" s="74"/>
      <c r="C112" s="74"/>
      <c r="D112" s="74"/>
      <c r="E112" s="74"/>
      <c r="F112" s="74"/>
      <c r="G112" s="74"/>
      <c r="H112" s="74"/>
    </row>
    <row r="113" spans="1:8">
      <c r="A113" s="73"/>
      <c r="B113" s="74"/>
      <c r="C113" s="74"/>
      <c r="D113" s="74"/>
      <c r="E113" s="74"/>
      <c r="F113" s="74"/>
      <c r="G113" s="74"/>
      <c r="H113" s="74"/>
    </row>
    <row r="114" spans="1:8">
      <c r="A114" s="73"/>
      <c r="B114" s="74"/>
      <c r="C114" s="74"/>
      <c r="D114" s="74"/>
      <c r="E114" s="74"/>
      <c r="F114" s="74"/>
      <c r="G114" s="74"/>
      <c r="H114" s="74"/>
    </row>
    <row r="115" spans="1:8">
      <c r="A115" s="73" t="str">
        <f>A54</f>
        <v>Groundnut</v>
      </c>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3">
        <f>A55</f>
        <v>0</v>
      </c>
      <c r="B118" s="74"/>
      <c r="C118" s="74"/>
      <c r="D118" s="74"/>
      <c r="E118" s="74"/>
      <c r="F118" s="74"/>
      <c r="G118" s="74"/>
      <c r="H118" s="74"/>
    </row>
    <row r="119" spans="1:8">
      <c r="A119" s="73"/>
      <c r="B119" s="74"/>
      <c r="C119" s="74"/>
      <c r="D119" s="74"/>
      <c r="E119" s="74"/>
      <c r="F119" s="74"/>
      <c r="G119" s="74"/>
      <c r="H119" s="74"/>
    </row>
    <row r="120" spans="1:8">
      <c r="A120" s="73"/>
      <c r="B120" s="74"/>
      <c r="C120" s="74"/>
      <c r="D120" s="74"/>
      <c r="E120" s="74"/>
      <c r="F120" s="74"/>
      <c r="G120" s="74"/>
      <c r="H120" s="74"/>
    </row>
    <row r="121" spans="1:8">
      <c r="A121" s="73">
        <f>A56</f>
        <v>0</v>
      </c>
      <c r="B121" s="74"/>
      <c r="C121" s="74"/>
      <c r="D121" s="74"/>
      <c r="E121" s="74"/>
      <c r="F121" s="74"/>
      <c r="G121" s="74"/>
      <c r="H121" s="74"/>
    </row>
    <row r="122" spans="1:8">
      <c r="A122" s="72"/>
      <c r="B122" s="252"/>
      <c r="C122" s="252"/>
      <c r="D122" s="252"/>
      <c r="E122" s="252"/>
      <c r="F122" s="252"/>
      <c r="G122" s="252"/>
      <c r="H122" s="252"/>
    </row>
    <row r="123" spans="1:8">
      <c r="A123" s="72"/>
      <c r="B123" s="252"/>
      <c r="C123" s="252"/>
      <c r="D123" s="252"/>
      <c r="E123" s="252"/>
      <c r="F123" s="252"/>
      <c r="G123" s="252"/>
      <c r="H123" s="252"/>
    </row>
    <row r="124" spans="1:8">
      <c r="A124" s="72" t="s">
        <v>439</v>
      </c>
      <c r="B124">
        <v>50</v>
      </c>
    </row>
    <row r="131" spans="1:12" ht="17.5">
      <c r="A131" s="411" t="s">
        <v>581</v>
      </c>
      <c r="B131" s="411"/>
      <c r="C131" s="411"/>
      <c r="D131" s="411"/>
      <c r="E131" s="411"/>
      <c r="F131" s="411"/>
      <c r="G131" s="411"/>
      <c r="H131" s="411"/>
      <c r="I131" s="411"/>
      <c r="J131" s="411"/>
    </row>
    <row r="132" spans="1:12">
      <c r="A132" s="12"/>
      <c r="B132" s="12"/>
      <c r="C132" s="12"/>
      <c r="D132" s="12"/>
      <c r="E132" s="12"/>
      <c r="F132" s="12"/>
      <c r="G132" s="12"/>
      <c r="H132" s="12"/>
    </row>
    <row r="133" spans="1:12">
      <c r="A133" s="162"/>
      <c r="B133" s="162"/>
      <c r="C133" s="162"/>
      <c r="D133" s="163">
        <v>1</v>
      </c>
      <c r="E133" s="164">
        <f>(D133*5%)+D133</f>
        <v>1.05</v>
      </c>
      <c r="F133" s="164">
        <f t="shared" ref="F133:J133" si="22">(E133*5%)+E133</f>
        <v>1.1025</v>
      </c>
      <c r="G133" s="164">
        <f t="shared" si="22"/>
        <v>1.1576250000000001</v>
      </c>
      <c r="H133" s="164">
        <f t="shared" si="22"/>
        <v>1.2155062500000002</v>
      </c>
      <c r="I133" s="164">
        <f t="shared" si="22"/>
        <v>1.2762815625000004</v>
      </c>
      <c r="J133" s="164">
        <f t="shared" si="22"/>
        <v>1.3400956406250004</v>
      </c>
    </row>
    <row r="134" spans="1:12">
      <c r="A134" s="72"/>
      <c r="B134" s="72"/>
      <c r="C134" s="72"/>
      <c r="D134" s="72"/>
      <c r="E134" s="72"/>
      <c r="F134" s="72"/>
      <c r="G134" s="72"/>
      <c r="H134" s="72"/>
      <c r="I134" s="72"/>
      <c r="J134" s="72"/>
    </row>
    <row r="135" spans="1:12">
      <c r="A135" s="124" t="s">
        <v>0</v>
      </c>
      <c r="B135" s="124" t="s">
        <v>133</v>
      </c>
      <c r="C135" s="124" t="s">
        <v>153</v>
      </c>
      <c r="D135" s="96" t="s">
        <v>2</v>
      </c>
      <c r="E135" s="96" t="s">
        <v>3</v>
      </c>
      <c r="F135" s="96" t="s">
        <v>4</v>
      </c>
      <c r="G135" s="96" t="s">
        <v>5</v>
      </c>
      <c r="H135" s="96" t="s">
        <v>6</v>
      </c>
      <c r="I135" s="96" t="s">
        <v>169</v>
      </c>
      <c r="J135" s="96" t="s">
        <v>168</v>
      </c>
    </row>
    <row r="136" spans="1:12">
      <c r="A136" s="73"/>
      <c r="B136" s="73"/>
      <c r="C136" s="73"/>
      <c r="D136" s="73"/>
      <c r="E136" s="73"/>
      <c r="F136" s="73"/>
      <c r="G136" s="73"/>
      <c r="H136" s="73"/>
      <c r="I136" s="73"/>
      <c r="J136" s="73"/>
    </row>
    <row r="137" spans="1:12">
      <c r="A137" s="75" t="s">
        <v>127</v>
      </c>
      <c r="B137" s="75"/>
      <c r="C137" s="75"/>
      <c r="D137" s="370"/>
      <c r="E137" s="370"/>
      <c r="F137" s="370"/>
      <c r="G137" s="370"/>
      <c r="H137" s="370"/>
      <c r="I137" s="73"/>
      <c r="J137" s="73"/>
    </row>
    <row r="138" spans="1:12">
      <c r="A138" s="75" t="s">
        <v>716</v>
      </c>
      <c r="B138" s="75"/>
      <c r="C138" s="75"/>
      <c r="D138" s="73"/>
      <c r="E138" s="73"/>
      <c r="F138" s="73"/>
      <c r="G138" s="73"/>
      <c r="H138" s="73"/>
      <c r="I138" s="73"/>
      <c r="J138" s="73"/>
    </row>
    <row r="139" spans="1:12">
      <c r="A139" s="73" t="str">
        <f>Output!K19</f>
        <v>Ground Nut Seed</v>
      </c>
      <c r="B139" s="73" t="s">
        <v>768</v>
      </c>
      <c r="C139" s="73">
        <f>270*25</f>
        <v>6750</v>
      </c>
      <c r="D139" s="165">
        <f>((1-'5.Closing Stock &amp; W Capital'!$D$17)*Output!L19)*$C139*D$133</f>
        <v>0</v>
      </c>
      <c r="E139" s="165">
        <f>(((1-'5.Closing Stock &amp; W Capital'!$D$17)*Output!M19)+('5.Closing Stock &amp; W Capital'!$D$17*Output!L19))*$C139*E$133</f>
        <v>0</v>
      </c>
      <c r="F139" s="165">
        <f>(((1-'5.Closing Stock &amp; W Capital'!$D$17)*Output!N19)+('5.Closing Stock &amp; W Capital'!$D$17*Output!M19))*$C139*F$133</f>
        <v>0</v>
      </c>
      <c r="G139" s="165">
        <f>(((1-'5.Closing Stock &amp; W Capital'!$D$17)*Output!O19)+('5.Closing Stock &amp; W Capital'!$D$17*Output!N19))*$C139*G$133</f>
        <v>0</v>
      </c>
      <c r="H139" s="165">
        <f>(((1-'5.Closing Stock &amp; W Capital'!$D$17)*Output!P19)+('5.Closing Stock &amp; W Capital'!$D$17*Output!O19))*$C139*H$133</f>
        <v>0</v>
      </c>
      <c r="I139" s="74">
        <f>(((1-'5.Closing Stock &amp; W Capital'!$D$17)*Output!Q19)+('5.Closing Stock &amp; W Capital'!$D$17*Output!P19))*$C139*I$133</f>
        <v>0</v>
      </c>
      <c r="J139" s="74">
        <f>(((1-'5.Closing Stock &amp; W Capital'!$D$17)*Output!R19)+('5.Closing Stock &amp; W Capital'!$D$17*Output!Q19))*$C139*J$133</f>
        <v>0</v>
      </c>
      <c r="K139" s="52"/>
      <c r="L139" s="52"/>
    </row>
    <row r="140" spans="1:12">
      <c r="A140" s="73" t="str">
        <f>Output!K21</f>
        <v>Sunflower Seed</v>
      </c>
      <c r="B140" s="73" t="s">
        <v>768</v>
      </c>
      <c r="C140" s="73">
        <f>240*25</f>
        <v>6000</v>
      </c>
      <c r="D140" s="165">
        <f>((1-'5.Closing Stock &amp; W Capital'!$D$17)*Output!L21)*$C140*D$133</f>
        <v>0</v>
      </c>
      <c r="E140" s="165">
        <f>(((1-'5.Closing Stock &amp; W Capital'!$D$17)*Output!M21)+('5.Closing Stock &amp; W Capital'!$D$17*Output!L21))*$C140*E$133</f>
        <v>0</v>
      </c>
      <c r="F140" s="165">
        <f>(((1-'5.Closing Stock &amp; W Capital'!$D$17)*Output!N21)+('5.Closing Stock &amp; W Capital'!$D$17*Output!M21))*$C140*F$133</f>
        <v>0</v>
      </c>
      <c r="G140" s="165">
        <f>(((1-'5.Closing Stock &amp; W Capital'!$D$17)*Output!O21)+('5.Closing Stock &amp; W Capital'!$D$17*Output!N21))*$C140*G$133</f>
        <v>0</v>
      </c>
      <c r="H140" s="165">
        <f>(((1-'5.Closing Stock &amp; W Capital'!$D$17)*Output!P21)+('5.Closing Stock &amp; W Capital'!$D$17*Output!O21))*$C140*H$133</f>
        <v>0</v>
      </c>
      <c r="I140" s="74">
        <f>(((1-'5.Closing Stock &amp; W Capital'!$D$17)*Output!Q21)+('5.Closing Stock &amp; W Capital'!$D$17*Output!P21))*$C140*I$133</f>
        <v>0</v>
      </c>
      <c r="J140" s="74">
        <f>(((1-'5.Closing Stock &amp; W Capital'!$D$17)*Output!R21)+('5.Closing Stock &amp; W Capital'!$D$17*Output!Q21))*$C140*J$133</f>
        <v>0</v>
      </c>
      <c r="K140" s="52"/>
      <c r="L140" s="52"/>
    </row>
    <row r="141" spans="1:12">
      <c r="A141" s="73" t="str">
        <f>Output!K22</f>
        <v>Safflower Seed</v>
      </c>
      <c r="B141" s="73" t="s">
        <v>768</v>
      </c>
      <c r="C141" s="73">
        <f>420*25</f>
        <v>10500</v>
      </c>
      <c r="D141" s="165">
        <f>((1-'5.Closing Stock &amp; W Capital'!$D$17)*Output!L22)*$C141*D$133</f>
        <v>0</v>
      </c>
      <c r="E141" s="165">
        <f>(((1-'5.Closing Stock &amp; W Capital'!$D$17)*Output!M22)+('5.Closing Stock &amp; W Capital'!$D$17*Output!L22))*$C141*E$133</f>
        <v>0</v>
      </c>
      <c r="F141" s="165">
        <f>(((1-'5.Closing Stock &amp; W Capital'!$D$17)*Output!N22)+('5.Closing Stock &amp; W Capital'!$D$17*Output!M22))*$C141*F$133</f>
        <v>0</v>
      </c>
      <c r="G141" s="165">
        <f>(((1-'5.Closing Stock &amp; W Capital'!$D$17)*Output!O22)+('5.Closing Stock &amp; W Capital'!$D$17*Output!N22))*$C141*G$133</f>
        <v>0</v>
      </c>
      <c r="H141" s="165">
        <f>(((1-'5.Closing Stock &amp; W Capital'!$D$17)*Output!P22)+('5.Closing Stock &amp; W Capital'!$D$17*Output!O22))*$C141*H$133</f>
        <v>0</v>
      </c>
      <c r="I141" s="74">
        <f>(((1-'5.Closing Stock &amp; W Capital'!$D$17)*Output!Q22)+('5.Closing Stock &amp; W Capital'!$D$17*Output!P22))*$C141*I$133</f>
        <v>0</v>
      </c>
      <c r="J141" s="74">
        <f>(((1-'5.Closing Stock &amp; W Capital'!$D$17)*Output!R22)+('5.Closing Stock &amp; W Capital'!$D$17*Output!Q22))*$C141*J$133</f>
        <v>0</v>
      </c>
    </row>
    <row r="142" spans="1:12">
      <c r="A142" s="75" t="s">
        <v>715</v>
      </c>
      <c r="B142" s="73"/>
      <c r="C142" s="73"/>
      <c r="D142" s="165"/>
      <c r="E142" s="165"/>
      <c r="F142" s="165"/>
      <c r="G142" s="165"/>
      <c r="H142" s="165"/>
      <c r="I142" s="74"/>
      <c r="J142" s="74"/>
    </row>
    <row r="143" spans="1:12">
      <c r="A143" s="73" t="str">
        <f>A139</f>
        <v>Ground Nut Seed</v>
      </c>
      <c r="B143" s="73" t="s">
        <v>355</v>
      </c>
      <c r="C143" s="73">
        <f>20*50</f>
        <v>1000</v>
      </c>
      <c r="D143" s="165">
        <f>((1-'5.Closing Stock &amp; W Capital'!$D$17)*Output!L25)*$C143*D$133</f>
        <v>0</v>
      </c>
      <c r="E143" s="165">
        <f>((1-'5.Closing Stock &amp; W Capital'!$D$17)*Output!M25)*$C143*E$133</f>
        <v>0</v>
      </c>
      <c r="F143" s="165">
        <f>((1-'5.Closing Stock &amp; W Capital'!$D$17)*Output!N25)*$C143*F$133</f>
        <v>0</v>
      </c>
      <c r="G143" s="165">
        <f>((1-'5.Closing Stock &amp; W Capital'!$D$17)*Output!O25)*$C143*G$133</f>
        <v>0</v>
      </c>
      <c r="H143" s="165">
        <f>((1-'5.Closing Stock &amp; W Capital'!$D$17)*Output!P25)*$C143*H$133</f>
        <v>0</v>
      </c>
      <c r="I143" s="74">
        <f>((1-'5.Closing Stock &amp; W Capital'!$D$17)*Output!Q25)*$C143*I$133</f>
        <v>0</v>
      </c>
      <c r="J143" s="74">
        <f>((1-'5.Closing Stock &amp; W Capital'!$D$17)*Output!R25)*$C143*J$133</f>
        <v>0</v>
      </c>
    </row>
    <row r="144" spans="1:12">
      <c r="A144" s="73" t="str">
        <f>A140</f>
        <v>Sunflower Seed</v>
      </c>
      <c r="B144" s="73" t="str">
        <f>B143</f>
        <v>50 Kg</v>
      </c>
      <c r="C144" s="73">
        <f>22*50</f>
        <v>1100</v>
      </c>
      <c r="D144" s="165">
        <f>((1-'5.Closing Stock &amp; W Capital'!$D$17)*Output!L26)*$C144*D$133</f>
        <v>0</v>
      </c>
      <c r="E144" s="165">
        <f>((1-'5.Closing Stock &amp; W Capital'!$D$17)*Output!M26)*$C144*E$133</f>
        <v>0</v>
      </c>
      <c r="F144" s="165">
        <f>((1-'5.Closing Stock &amp; W Capital'!$D$17)*Output!N26)*$C144*F$133</f>
        <v>0</v>
      </c>
      <c r="G144" s="165">
        <f>((1-'5.Closing Stock &amp; W Capital'!$D$17)*Output!O26)*$C144*G$133</f>
        <v>0</v>
      </c>
      <c r="H144" s="165">
        <f>((1-'5.Closing Stock &amp; W Capital'!$D$17)*Output!P26)*$C144*H$133</f>
        <v>0</v>
      </c>
      <c r="I144" s="74">
        <f>((1-'5.Closing Stock &amp; W Capital'!$D$17)*Output!Q26)*$C144*I$133</f>
        <v>0</v>
      </c>
      <c r="J144" s="74">
        <f>((1-'5.Closing Stock &amp; W Capital'!$D$17)*Output!R26)*$C144*J$133</f>
        <v>0</v>
      </c>
    </row>
    <row r="145" spans="1:10">
      <c r="A145" s="73" t="str">
        <f>A141</f>
        <v>Safflower Seed</v>
      </c>
      <c r="B145" s="73" t="str">
        <f t="shared" ref="B145" si="23">B144</f>
        <v>50 Kg</v>
      </c>
      <c r="C145" s="73">
        <f t="shared" ref="C145" si="24">20*50</f>
        <v>1000</v>
      </c>
      <c r="D145" s="165">
        <f>((1-'5.Closing Stock &amp; W Capital'!$D$17)*Output!L27)*$C145*D$133</f>
        <v>0</v>
      </c>
      <c r="E145" s="165">
        <f>((1-'5.Closing Stock &amp; W Capital'!$D$17)*Output!M27)*$C145*E$133</f>
        <v>0</v>
      </c>
      <c r="F145" s="165">
        <f>((1-'5.Closing Stock &amp; W Capital'!$D$17)*Output!N27)*$C145*F$133</f>
        <v>0</v>
      </c>
      <c r="G145" s="165">
        <f>((1-'5.Closing Stock &amp; W Capital'!$D$17)*Output!O27)*$C145*G$133</f>
        <v>0</v>
      </c>
      <c r="H145" s="165">
        <f>((1-'5.Closing Stock &amp; W Capital'!$D$17)*Output!P27)*$C145*H$133</f>
        <v>0</v>
      </c>
      <c r="I145" s="74">
        <f>((1-'5.Closing Stock &amp; W Capital'!$D$17)*Output!Q27)*$C145*I$133</f>
        <v>0</v>
      </c>
      <c r="J145" s="74">
        <f>((1-'5.Closing Stock &amp; W Capital'!$D$17)*Output!R27)*$C145*J$133</f>
        <v>0</v>
      </c>
    </row>
    <row r="146" spans="1:10">
      <c r="A146" s="75" t="s">
        <v>127</v>
      </c>
      <c r="B146" s="75"/>
      <c r="C146" s="75"/>
      <c r="D146" s="367">
        <f t="shared" ref="D146:J146" si="25">SUM(D139:D145)</f>
        <v>0</v>
      </c>
      <c r="E146" s="367">
        <f t="shared" si="25"/>
        <v>0</v>
      </c>
      <c r="F146" s="367">
        <f t="shared" si="25"/>
        <v>0</v>
      </c>
      <c r="G146" s="367">
        <f t="shared" si="25"/>
        <v>0</v>
      </c>
      <c r="H146" s="367">
        <f t="shared" si="25"/>
        <v>0</v>
      </c>
      <c r="I146" s="91">
        <f t="shared" si="25"/>
        <v>0</v>
      </c>
      <c r="J146" s="91">
        <f t="shared" si="25"/>
        <v>0</v>
      </c>
    </row>
    <row r="147" spans="1:10">
      <c r="A147" s="73"/>
      <c r="B147" s="73"/>
      <c r="C147" s="73"/>
      <c r="D147" s="165"/>
      <c r="E147" s="165"/>
      <c r="F147" s="165"/>
      <c r="G147" s="165"/>
      <c r="H147" s="165"/>
      <c r="I147" s="74"/>
      <c r="J147" s="74"/>
    </row>
    <row r="148" spans="1:10">
      <c r="A148" s="75" t="s">
        <v>143</v>
      </c>
      <c r="B148" s="75"/>
      <c r="C148" s="75"/>
      <c r="D148" s="165"/>
      <c r="E148" s="165"/>
      <c r="F148" s="165"/>
      <c r="G148" s="165"/>
      <c r="H148" s="165"/>
      <c r="I148" s="74"/>
      <c r="J148" s="74"/>
    </row>
    <row r="149" spans="1:10">
      <c r="A149" s="75" t="s">
        <v>307</v>
      </c>
      <c r="B149" s="75"/>
      <c r="C149" s="73"/>
      <c r="D149" s="165"/>
      <c r="E149" s="165"/>
      <c r="F149" s="165"/>
      <c r="G149" s="165"/>
      <c r="H149" s="165"/>
      <c r="I149" s="74"/>
      <c r="J149" s="74"/>
    </row>
    <row r="150" spans="1:10">
      <c r="A150" s="73" t="str">
        <f>A143</f>
        <v>Ground Nut Seed</v>
      </c>
      <c r="B150" s="73" t="s">
        <v>357</v>
      </c>
      <c r="C150" s="165">
        <v>9200</v>
      </c>
      <c r="D150" s="165">
        <f>(Output!L13/100)*$C150*D$133</f>
        <v>0</v>
      </c>
      <c r="E150" s="165">
        <f>(Output!M13/100)*$C150*E$133</f>
        <v>0</v>
      </c>
      <c r="F150" s="165">
        <f>(Output!N13/100)*$C150*F$133</f>
        <v>0</v>
      </c>
      <c r="G150" s="165">
        <f>(Output!O13/100)*$C150*G$133</f>
        <v>0</v>
      </c>
      <c r="H150" s="165">
        <f>(Output!P13/100)*$C150*H$133</f>
        <v>0</v>
      </c>
      <c r="I150" s="74">
        <f>(Output!Q13/100)*$C150*I$133</f>
        <v>0</v>
      </c>
      <c r="J150" s="74">
        <f>(Output!R13/100)*$C150*J$133</f>
        <v>0</v>
      </c>
    </row>
    <row r="151" spans="1:10">
      <c r="A151" s="73" t="str">
        <f>A144</f>
        <v>Sunflower Seed</v>
      </c>
      <c r="B151" s="73" t="s">
        <v>357</v>
      </c>
      <c r="C151" s="165">
        <v>6500</v>
      </c>
      <c r="D151" s="165">
        <f>(Output!L15/100)*$C151*D$133</f>
        <v>0</v>
      </c>
      <c r="E151" s="165">
        <f>(Output!M15/100)*$C151*E$133</f>
        <v>0</v>
      </c>
      <c r="F151" s="165">
        <f>(Output!N15/100)*$C151*F$133</f>
        <v>0</v>
      </c>
      <c r="G151" s="165">
        <f>(Output!O15/100)*$C151*G$133</f>
        <v>0</v>
      </c>
      <c r="H151" s="165">
        <f>(Output!P15/100)*$C151*H$133</f>
        <v>0</v>
      </c>
      <c r="I151" s="74">
        <f>(Output!Q15/100)*$C151*I$133</f>
        <v>0</v>
      </c>
      <c r="J151" s="74">
        <f>(Output!R15/100)*$C151*J$133</f>
        <v>0</v>
      </c>
    </row>
    <row r="152" spans="1:10">
      <c r="A152" s="73" t="str">
        <f>A145</f>
        <v>Safflower Seed</v>
      </c>
      <c r="B152" s="73" t="s">
        <v>357</v>
      </c>
      <c r="C152" s="165">
        <v>7500</v>
      </c>
      <c r="D152" s="165">
        <f>(Output!L16/100)*$C152*D$133</f>
        <v>0</v>
      </c>
      <c r="E152" s="165">
        <f>(Output!M16/100)*$C152*E$133</f>
        <v>0</v>
      </c>
      <c r="F152" s="165">
        <f>(Output!N16/100)*$C152*F$133</f>
        <v>0</v>
      </c>
      <c r="G152" s="165">
        <f>(Output!O16/100)*$C152*G$133</f>
        <v>0</v>
      </c>
      <c r="H152" s="165">
        <f>(Output!P16/100)*$C152*H$133</f>
        <v>0</v>
      </c>
      <c r="I152" s="74">
        <f>(Output!Q16/100)*$C152*I$133</f>
        <v>0</v>
      </c>
      <c r="J152" s="74">
        <f>(Output!R16/100)*$C152*J$133</f>
        <v>0</v>
      </c>
    </row>
    <row r="153" spans="1:10">
      <c r="A153" s="73" t="s">
        <v>313</v>
      </c>
      <c r="B153" s="73"/>
      <c r="C153" s="73"/>
      <c r="D153" s="165">
        <f>(Output!L9*'13.Facility 2 Grain Processing'!$B$153*'13.Facility 2 Grain Processing'!$C$153*'13.Facility 2 Grain Processing'!D133)</f>
        <v>0</v>
      </c>
      <c r="E153" s="165">
        <f>(Output!M9*'13.Facility 2 Grain Processing'!$B$153*'13.Facility 2 Grain Processing'!$C$153*'13.Facility 2 Grain Processing'!E133)</f>
        <v>0</v>
      </c>
      <c r="F153" s="165">
        <f>(Output!N9*'13.Facility 2 Grain Processing'!$B$153*'13.Facility 2 Grain Processing'!$C$153*'13.Facility 2 Grain Processing'!F133)</f>
        <v>0</v>
      </c>
      <c r="G153" s="165">
        <f>(Output!O9*'13.Facility 2 Grain Processing'!$B$153*'13.Facility 2 Grain Processing'!$C$153*'13.Facility 2 Grain Processing'!G133)</f>
        <v>0</v>
      </c>
      <c r="H153" s="165">
        <f>(Output!P9*'13.Facility 2 Grain Processing'!$B$153*'13.Facility 2 Grain Processing'!$C$153*'13.Facility 2 Grain Processing'!H133)</f>
        <v>0</v>
      </c>
      <c r="I153" s="74">
        <f>(Output!Q9*'13.Facility 2 Grain Processing'!$B$153*'13.Facility 2 Grain Processing'!$C$153*'13.Facility 2 Grain Processing'!I133)</f>
        <v>0</v>
      </c>
      <c r="J153" s="74">
        <f>(Output!R9*'13.Facility 2 Grain Processing'!$B$153*'13.Facility 2 Grain Processing'!$C$153*'13.Facility 2 Grain Processing'!J133)</f>
        <v>0</v>
      </c>
    </row>
    <row r="154" spans="1:10">
      <c r="A154" s="73" t="s">
        <v>145</v>
      </c>
      <c r="B154" s="73"/>
      <c r="C154" s="73"/>
      <c r="D154" s="165">
        <f>(Output!L9*$B$154*$C$154*D133)</f>
        <v>0</v>
      </c>
      <c r="E154" s="165">
        <f>(Output!M9*$B$154*$C$154*E133)</f>
        <v>0</v>
      </c>
      <c r="F154" s="165">
        <f>(Output!N9*$B$154*$C$154*F133)</f>
        <v>0</v>
      </c>
      <c r="G154" s="165">
        <f>(Output!O9*$B$154*$C$154*G133)</f>
        <v>0</v>
      </c>
      <c r="H154" s="165">
        <f>(Output!P9*$B$154*$C$154*H133)</f>
        <v>0</v>
      </c>
      <c r="I154" s="74">
        <f>(Output!Q9*$B$154*$C$154*I133)</f>
        <v>0</v>
      </c>
      <c r="J154" s="74">
        <f>(Output!R9*$B$154*$C$154*J133)</f>
        <v>0</v>
      </c>
    </row>
    <row r="155" spans="1:10">
      <c r="A155" s="73" t="s">
        <v>291</v>
      </c>
      <c r="B155" s="73"/>
      <c r="C155" s="73">
        <v>20</v>
      </c>
      <c r="D155" s="165">
        <f>(Output!L10/50)*$C$155*D133</f>
        <v>0</v>
      </c>
      <c r="E155" s="165">
        <f>(Output!M10/50)*$C$155*E133</f>
        <v>0</v>
      </c>
      <c r="F155" s="165">
        <f>(Output!N10/50)*$C$155*F133</f>
        <v>0</v>
      </c>
      <c r="G155" s="165">
        <f>(Output!O10/50)*$C$155*G133</f>
        <v>0</v>
      </c>
      <c r="H155" s="165">
        <f>(Output!P10/50)*$C$155*H133</f>
        <v>0</v>
      </c>
      <c r="I155" s="74">
        <f>(Output!Q10/50)*$C$155*I133</f>
        <v>0</v>
      </c>
      <c r="J155" s="74">
        <f>(Output!R10/50)*$C$155*J133</f>
        <v>0</v>
      </c>
    </row>
    <row r="156" spans="1:10">
      <c r="A156" s="73" t="s">
        <v>761</v>
      </c>
      <c r="B156" s="73"/>
      <c r="C156" s="160"/>
      <c r="D156" s="165">
        <f>'2.Capex Details'!$G$37*$C$156*D133</f>
        <v>0</v>
      </c>
      <c r="E156" s="165">
        <f>'2.Capex Details'!$G$37*$C$156*E133</f>
        <v>0</v>
      </c>
      <c r="F156" s="165">
        <f>'2.Capex Details'!$G$37*$C$156*F133</f>
        <v>0</v>
      </c>
      <c r="G156" s="165">
        <f>'2.Capex Details'!$G$37*$C$156*G133</f>
        <v>0</v>
      </c>
      <c r="H156" s="165">
        <f>'2.Capex Details'!$G$37*$C$156*H133</f>
        <v>0</v>
      </c>
      <c r="I156" s="74">
        <f>'2.Capex Details'!$G$37*$C$156*I133</f>
        <v>0</v>
      </c>
      <c r="J156" s="74">
        <f>'2.Capex Details'!$G$37*$C$156*J133</f>
        <v>0</v>
      </c>
    </row>
    <row r="157" spans="1:10">
      <c r="A157" s="85" t="s">
        <v>717</v>
      </c>
      <c r="B157" s="85"/>
      <c r="C157" s="85">
        <v>40</v>
      </c>
      <c r="D157" s="165">
        <f>SUM(Output!L19:L22)*$C$157*D133</f>
        <v>0</v>
      </c>
      <c r="E157" s="165">
        <f>SUM(Output!M19:M22)*$C$157*E133</f>
        <v>0</v>
      </c>
      <c r="F157" s="165">
        <f>SUM(Output!N19:N22)*$C$157*F133</f>
        <v>0</v>
      </c>
      <c r="G157" s="165">
        <f>SUM(Output!O19:O22)*$C$157*G133</f>
        <v>0</v>
      </c>
      <c r="H157" s="165">
        <f>SUM(Output!P19:P22)*$C$157*H133</f>
        <v>0</v>
      </c>
      <c r="I157" s="74">
        <f>SUM(Output!Q19:Q22)*$C$157*I133</f>
        <v>0</v>
      </c>
      <c r="J157" s="74">
        <f>SUM(Output!R19:R22)*$C$157*J133</f>
        <v>0</v>
      </c>
    </row>
    <row r="158" spans="1:10">
      <c r="A158" s="85" t="s">
        <v>718</v>
      </c>
      <c r="B158" s="85"/>
      <c r="C158" s="85">
        <v>50</v>
      </c>
      <c r="D158" s="165">
        <f>SUM(Output!L19:L22)*$C$158*D133</f>
        <v>0</v>
      </c>
      <c r="E158" s="165">
        <f>SUM(Output!M19:M22)*$C$158*E133</f>
        <v>0</v>
      </c>
      <c r="F158" s="165">
        <f>SUM(Output!N19:N22)*$C$158*F133</f>
        <v>0</v>
      </c>
      <c r="G158" s="165">
        <f>SUM(Output!O19:O22)*$C$158*G133</f>
        <v>0</v>
      </c>
      <c r="H158" s="165">
        <f>SUM(Output!P19:P22)*$C$158*H133</f>
        <v>0</v>
      </c>
      <c r="I158" s="74">
        <f>SUM(Output!Q19:Q22)*$C$158*I133</f>
        <v>0</v>
      </c>
      <c r="J158" s="74">
        <f>SUM(Output!R19:R22)*$C$158*J133</f>
        <v>0</v>
      </c>
    </row>
    <row r="159" spans="1:10">
      <c r="A159" s="73" t="s">
        <v>762</v>
      </c>
      <c r="B159" s="73"/>
      <c r="C159" s="73">
        <v>40</v>
      </c>
      <c r="D159" s="165">
        <f>SUM(Output!L10/100)*$C$159*D133</f>
        <v>0</v>
      </c>
      <c r="E159" s="165">
        <f>SUM(Output!M10/100)*$C$159*E133</f>
        <v>0</v>
      </c>
      <c r="F159" s="165">
        <f>SUM(Output!N10/100)*$C$159*F133</f>
        <v>0</v>
      </c>
      <c r="G159" s="165">
        <f>SUM(Output!O10/100)*$C$159*G133</f>
        <v>0</v>
      </c>
      <c r="H159" s="165">
        <f>SUM(Output!P10/100)*$C$159*H133</f>
        <v>0</v>
      </c>
      <c r="I159" s="74">
        <f>SUM(Output!Q10/100)*$C$159*I133</f>
        <v>0</v>
      </c>
      <c r="J159" s="74">
        <f>SUM(Output!R10/100)*$C$159*J133</f>
        <v>0</v>
      </c>
    </row>
    <row r="160" spans="1:10">
      <c r="A160" s="73" t="s">
        <v>763</v>
      </c>
      <c r="B160" s="9"/>
      <c r="C160" s="9"/>
      <c r="D160" s="369">
        <f>SUM(Output!L19:L27)*$C$160*D133</f>
        <v>0</v>
      </c>
      <c r="E160" s="369">
        <f>SUM(Output!M19:M27)*$C$160*E133</f>
        <v>0</v>
      </c>
      <c r="F160" s="369">
        <f>SUM(Output!N19:N27)*$C$160*F133</f>
        <v>0</v>
      </c>
      <c r="G160" s="369">
        <f>SUM(Output!O19:O27)*$C$160*G133</f>
        <v>0</v>
      </c>
      <c r="H160" s="369">
        <f>SUM(Output!P19:P27)*$C$160*H133</f>
        <v>0</v>
      </c>
      <c r="I160" s="20">
        <f>SUM(Output!Q19:Q27)*$C$160*I133</f>
        <v>0</v>
      </c>
      <c r="J160" s="20">
        <f>SUM(Output!R19:R27)*$C$160*J133</f>
        <v>0</v>
      </c>
    </row>
    <row r="161" spans="1:10">
      <c r="A161" s="9"/>
      <c r="B161" s="9"/>
      <c r="C161" s="9"/>
      <c r="D161" s="222"/>
      <c r="E161" s="9"/>
      <c r="F161" s="9"/>
      <c r="G161" s="9"/>
      <c r="H161" s="9"/>
      <c r="I161" s="9"/>
      <c r="J161" s="9"/>
    </row>
    <row r="162" spans="1:10">
      <c r="A162" s="9"/>
      <c r="B162" s="9"/>
      <c r="C162" s="9"/>
      <c r="D162" s="371"/>
      <c r="E162" s="9"/>
      <c r="F162" s="9"/>
      <c r="G162" s="9"/>
      <c r="H162" s="9"/>
      <c r="I162" s="9"/>
      <c r="J162" s="9"/>
    </row>
    <row r="163" spans="1:10">
      <c r="A163" s="9"/>
      <c r="B163" s="9"/>
      <c r="C163" s="9"/>
      <c r="D163" s="9"/>
      <c r="E163" s="9"/>
      <c r="F163" s="9"/>
      <c r="G163" s="9"/>
      <c r="H163" s="9"/>
      <c r="I163" s="9"/>
      <c r="J163" s="9"/>
    </row>
    <row r="164" spans="1:10">
      <c r="A164" s="165" t="s">
        <v>336</v>
      </c>
      <c r="B164" s="165"/>
      <c r="C164" s="165"/>
      <c r="D164" s="165"/>
      <c r="E164" s="165">
        <f>'5.Closing Stock &amp; W Capital'!F8</f>
        <v>0</v>
      </c>
      <c r="F164" s="165">
        <f>'5.Closing Stock &amp; W Capital'!G8</f>
        <v>0</v>
      </c>
      <c r="G164" s="165">
        <f>'5.Closing Stock &amp; W Capital'!H8</f>
        <v>0</v>
      </c>
      <c r="H164" s="165">
        <f>'5.Closing Stock &amp; W Capital'!I8</f>
        <v>0</v>
      </c>
      <c r="I164" s="74">
        <f>'5.Closing Stock &amp; W Capital'!J8</f>
        <v>0</v>
      </c>
      <c r="J164" s="74">
        <f>'5.Closing Stock &amp; W Capital'!K8</f>
        <v>0</v>
      </c>
    </row>
    <row r="165" spans="1:10">
      <c r="A165" s="165" t="s">
        <v>337</v>
      </c>
      <c r="B165" s="165"/>
      <c r="C165" s="165"/>
      <c r="D165" s="165">
        <f>'5.Closing Stock &amp; W Capital'!E17</f>
        <v>0</v>
      </c>
      <c r="E165" s="165">
        <f>'5.Closing Stock &amp; W Capital'!F17</f>
        <v>0</v>
      </c>
      <c r="F165" s="165">
        <f>'5.Closing Stock &amp; W Capital'!G17</f>
        <v>0</v>
      </c>
      <c r="G165" s="165">
        <f>'5.Closing Stock &amp; W Capital'!H17</f>
        <v>0</v>
      </c>
      <c r="H165" s="165">
        <f>'5.Closing Stock &amp; W Capital'!I17</f>
        <v>0</v>
      </c>
      <c r="I165" s="74">
        <f>'5.Closing Stock &amp; W Capital'!J17</f>
        <v>0</v>
      </c>
      <c r="J165" s="74">
        <f>'5.Closing Stock &amp; W Capital'!K17</f>
        <v>0</v>
      </c>
    </row>
    <row r="166" spans="1:10">
      <c r="A166" s="165"/>
      <c r="B166" s="165"/>
      <c r="C166" s="165"/>
      <c r="D166" s="165"/>
      <c r="E166" s="165"/>
      <c r="F166" s="165"/>
      <c r="G166" s="165"/>
      <c r="H166" s="165"/>
      <c r="I166" s="74"/>
      <c r="J166" s="74"/>
    </row>
    <row r="167" spans="1:10">
      <c r="A167" s="367" t="s">
        <v>314</v>
      </c>
      <c r="B167" s="165"/>
      <c r="C167" s="165"/>
      <c r="D167" s="367">
        <f t="shared" ref="D167:J167" si="26">SUM(D150:D164)-D165</f>
        <v>0</v>
      </c>
      <c r="E167" s="367">
        <f t="shared" si="26"/>
        <v>0</v>
      </c>
      <c r="F167" s="367">
        <f t="shared" si="26"/>
        <v>0</v>
      </c>
      <c r="G167" s="367">
        <f t="shared" si="26"/>
        <v>0</v>
      </c>
      <c r="H167" s="367">
        <f t="shared" si="26"/>
        <v>0</v>
      </c>
      <c r="I167" s="91">
        <f t="shared" si="26"/>
        <v>0</v>
      </c>
      <c r="J167" s="91">
        <f t="shared" si="26"/>
        <v>0</v>
      </c>
    </row>
    <row r="168" spans="1:10">
      <c r="A168" s="73"/>
      <c r="B168" s="73"/>
      <c r="C168" s="73"/>
      <c r="D168" s="73"/>
      <c r="E168" s="73"/>
      <c r="F168" s="73"/>
      <c r="G168" s="73"/>
      <c r="H168" s="73"/>
      <c r="I168" s="73"/>
      <c r="J168" s="73"/>
    </row>
    <row r="169" spans="1:10">
      <c r="A169" s="166" t="s">
        <v>306</v>
      </c>
      <c r="B169" s="166"/>
      <c r="C169" s="166"/>
      <c r="D169" s="367"/>
      <c r="E169" s="367"/>
      <c r="F169" s="367"/>
      <c r="G169" s="367"/>
      <c r="H169" s="367"/>
      <c r="I169" s="91"/>
      <c r="J169" s="91"/>
    </row>
    <row r="170" spans="1:10">
      <c r="A170" s="73" t="s">
        <v>186</v>
      </c>
      <c r="B170" s="73"/>
      <c r="C170" s="165"/>
      <c r="D170" s="165">
        <f t="shared" ref="D170:J170" si="27">$B$170*$C$170*D133*12</f>
        <v>0</v>
      </c>
      <c r="E170" s="165">
        <f t="shared" si="27"/>
        <v>0</v>
      </c>
      <c r="F170" s="165">
        <f t="shared" si="27"/>
        <v>0</v>
      </c>
      <c r="G170" s="165">
        <f t="shared" si="27"/>
        <v>0</v>
      </c>
      <c r="H170" s="165">
        <f t="shared" si="27"/>
        <v>0</v>
      </c>
      <c r="I170" s="165">
        <f t="shared" si="27"/>
        <v>0</v>
      </c>
      <c r="J170" s="165">
        <f t="shared" si="27"/>
        <v>0</v>
      </c>
    </row>
    <row r="171" spans="1:10">
      <c r="A171" s="73" t="s">
        <v>191</v>
      </c>
      <c r="B171" s="73"/>
      <c r="C171" s="165"/>
      <c r="D171" s="165">
        <f t="shared" ref="D171:J171" si="28">$B$171*$C$171*D133*12</f>
        <v>0</v>
      </c>
      <c r="E171" s="165">
        <f t="shared" si="28"/>
        <v>0</v>
      </c>
      <c r="F171" s="165">
        <f t="shared" si="28"/>
        <v>0</v>
      </c>
      <c r="G171" s="165">
        <f t="shared" si="28"/>
        <v>0</v>
      </c>
      <c r="H171" s="165">
        <f t="shared" si="28"/>
        <v>0</v>
      </c>
      <c r="I171" s="165">
        <f t="shared" si="28"/>
        <v>0</v>
      </c>
      <c r="J171" s="165">
        <f t="shared" si="28"/>
        <v>0</v>
      </c>
    </row>
    <row r="172" spans="1:10">
      <c r="A172" s="73"/>
      <c r="B172" s="73"/>
      <c r="C172" s="165"/>
      <c r="D172" s="165"/>
      <c r="E172" s="165"/>
      <c r="F172" s="165"/>
      <c r="G172" s="165"/>
      <c r="H172" s="165"/>
      <c r="I172" s="165"/>
      <c r="J172" s="165"/>
    </row>
    <row r="173" spans="1:10">
      <c r="A173" s="73"/>
      <c r="B173" s="73"/>
      <c r="C173" s="165"/>
      <c r="D173" s="165"/>
      <c r="E173" s="165"/>
      <c r="F173" s="165"/>
      <c r="G173" s="165"/>
      <c r="H173" s="165"/>
      <c r="I173" s="165"/>
      <c r="J173" s="165"/>
    </row>
    <row r="174" spans="1:10">
      <c r="A174" s="75" t="s">
        <v>306</v>
      </c>
      <c r="B174" s="75"/>
      <c r="C174" s="75"/>
      <c r="D174" s="367">
        <f>SUM(D170:D172)</f>
        <v>0</v>
      </c>
      <c r="E174" s="367">
        <f t="shared" ref="E174:J174" si="29">SUM(E170:E172)</f>
        <v>0</v>
      </c>
      <c r="F174" s="367">
        <f t="shared" si="29"/>
        <v>0</v>
      </c>
      <c r="G174" s="367">
        <f t="shared" si="29"/>
        <v>0</v>
      </c>
      <c r="H174" s="367">
        <f t="shared" si="29"/>
        <v>0</v>
      </c>
      <c r="I174" s="367">
        <f t="shared" si="29"/>
        <v>0</v>
      </c>
      <c r="J174" s="367">
        <f t="shared" si="29"/>
        <v>0</v>
      </c>
    </row>
    <row r="175" spans="1:10">
      <c r="A175" s="166" t="s">
        <v>294</v>
      </c>
      <c r="B175" s="166"/>
      <c r="C175" s="166"/>
      <c r="D175" s="367">
        <f>D167+D174</f>
        <v>0</v>
      </c>
      <c r="E175" s="367">
        <f t="shared" ref="E175:J175" si="30">E167+E174</f>
        <v>0</v>
      </c>
      <c r="F175" s="367">
        <f t="shared" si="30"/>
        <v>0</v>
      </c>
      <c r="G175" s="367">
        <f t="shared" si="30"/>
        <v>0</v>
      </c>
      <c r="H175" s="367">
        <f t="shared" si="30"/>
        <v>0</v>
      </c>
      <c r="I175" s="367">
        <f t="shared" si="30"/>
        <v>0</v>
      </c>
      <c r="J175" s="367">
        <f t="shared" si="30"/>
        <v>0</v>
      </c>
    </row>
    <row r="176" spans="1:10">
      <c r="A176" s="73"/>
      <c r="B176" s="73"/>
      <c r="C176" s="73"/>
      <c r="D176" s="165"/>
      <c r="E176" s="165"/>
      <c r="F176" s="165"/>
      <c r="G176" s="165"/>
      <c r="H176" s="165"/>
      <c r="I176" s="165"/>
      <c r="J176" s="165"/>
    </row>
    <row r="177" spans="1:10">
      <c r="A177" s="75" t="s">
        <v>7</v>
      </c>
      <c r="B177" s="75"/>
      <c r="C177" s="75"/>
      <c r="D177" s="367">
        <f t="shared" ref="D177:J177" si="31">D146-D175</f>
        <v>0</v>
      </c>
      <c r="E177" s="367">
        <f t="shared" si="31"/>
        <v>0</v>
      </c>
      <c r="F177" s="367">
        <f t="shared" si="31"/>
        <v>0</v>
      </c>
      <c r="G177" s="367">
        <f t="shared" si="31"/>
        <v>0</v>
      </c>
      <c r="H177" s="367">
        <f t="shared" si="31"/>
        <v>0</v>
      </c>
      <c r="I177" s="367">
        <f t="shared" si="31"/>
        <v>0</v>
      </c>
      <c r="J177" s="367">
        <f t="shared" si="31"/>
        <v>0</v>
      </c>
    </row>
    <row r="178" spans="1:10">
      <c r="A178" s="92"/>
      <c r="B178" s="92"/>
      <c r="C178" s="92"/>
      <c r="D178" s="72"/>
      <c r="E178" s="72"/>
      <c r="F178" s="72"/>
      <c r="G178" s="72"/>
      <c r="H178" s="72"/>
      <c r="I178" s="72"/>
      <c r="J178" s="72"/>
    </row>
    <row r="179" spans="1:10">
      <c r="A179" s="72"/>
      <c r="B179" s="72"/>
      <c r="C179" s="72"/>
      <c r="D179" s="72"/>
      <c r="E179" s="72"/>
      <c r="F179" s="72"/>
      <c r="G179" s="72"/>
      <c r="H179" s="72"/>
      <c r="I179" s="72"/>
      <c r="J179" s="72"/>
    </row>
    <row r="180" spans="1:10">
      <c r="A180" s="72"/>
      <c r="B180" s="72"/>
      <c r="C180" s="72"/>
      <c r="D180" s="72"/>
      <c r="E180" s="72"/>
      <c r="F180" s="72"/>
      <c r="G180" s="72"/>
      <c r="H180" s="72"/>
      <c r="I180" s="72"/>
      <c r="J180" s="72"/>
    </row>
    <row r="181" spans="1:10">
      <c r="A181" s="410" t="s">
        <v>413</v>
      </c>
      <c r="B181" s="410"/>
      <c r="C181" s="410"/>
      <c r="D181" s="410"/>
      <c r="E181" s="410"/>
      <c r="F181" s="410"/>
      <c r="G181" s="410"/>
      <c r="H181" s="410"/>
      <c r="I181" s="410"/>
      <c r="J181" s="410"/>
    </row>
    <row r="183" spans="1:10">
      <c r="A183" t="s">
        <v>530</v>
      </c>
    </row>
    <row r="184" spans="1:10">
      <c r="A184">
        <v>1</v>
      </c>
      <c r="B184" t="s">
        <v>543</v>
      </c>
    </row>
    <row r="185" spans="1:10">
      <c r="A185">
        <v>2</v>
      </c>
      <c r="B185" t="s">
        <v>544</v>
      </c>
    </row>
    <row r="186" spans="1:10">
      <c r="A186">
        <v>3</v>
      </c>
      <c r="B186" s="72" t="s">
        <v>595</v>
      </c>
    </row>
    <row r="189" spans="1:10">
      <c r="A189" t="s">
        <v>689</v>
      </c>
      <c r="B189" t="s">
        <v>690</v>
      </c>
    </row>
    <row r="190" spans="1:10">
      <c r="B190" t="s">
        <v>704</v>
      </c>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56"/>
  <sheetViews>
    <sheetView view="pageBreakPreview" topLeftCell="A4" zoomScale="80" zoomScaleSheetLayoutView="80" workbookViewId="0">
      <selection activeCell="D5" sqref="D5"/>
    </sheetView>
  </sheetViews>
  <sheetFormatPr defaultRowHeight="14.5"/>
  <cols>
    <col min="1" max="1" width="30.453125" bestFit="1" customWidth="1"/>
    <col min="2" max="3" width="10.453125" bestFit="1" customWidth="1"/>
    <col min="4" max="4" width="12.26953125" bestFit="1" customWidth="1"/>
    <col min="5" max="8" width="10.453125" bestFit="1" customWidth="1"/>
    <col min="9" max="10" width="10.6328125" bestFit="1" customWidth="1"/>
  </cols>
  <sheetData>
    <row r="2" spans="1:10" ht="17.5">
      <c r="A2" s="411" t="s">
        <v>582</v>
      </c>
      <c r="B2" s="411"/>
      <c r="C2" s="411"/>
      <c r="D2" s="411"/>
      <c r="E2" s="411"/>
      <c r="F2" s="411"/>
      <c r="G2" s="411"/>
      <c r="H2" s="411"/>
    </row>
    <row r="3" spans="1:10" ht="17.5">
      <c r="A3" s="411" t="s">
        <v>583</v>
      </c>
      <c r="B3" s="411"/>
      <c r="C3" s="411"/>
      <c r="D3" s="411"/>
      <c r="E3" s="411"/>
      <c r="F3" s="411"/>
      <c r="G3" s="411"/>
      <c r="H3" s="411"/>
    </row>
    <row r="4" spans="1:10">
      <c r="A4" s="72" t="s">
        <v>161</v>
      </c>
      <c r="B4" s="219">
        <v>1020</v>
      </c>
      <c r="C4" s="157" t="s">
        <v>295</v>
      </c>
      <c r="D4" s="157"/>
      <c r="E4" s="157"/>
      <c r="F4" s="157"/>
      <c r="G4" s="72"/>
      <c r="H4" s="72"/>
    </row>
    <row r="5" spans="1:10">
      <c r="A5" s="72"/>
      <c r="B5" s="158"/>
      <c r="C5" s="72"/>
      <c r="D5" s="72"/>
      <c r="E5" s="72"/>
      <c r="F5" s="72"/>
      <c r="G5" s="72"/>
      <c r="H5" s="72"/>
    </row>
    <row r="6" spans="1:10">
      <c r="A6" s="72" t="s">
        <v>297</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169</v>
      </c>
      <c r="H8" s="96" t="s">
        <v>168</v>
      </c>
    </row>
    <row r="9" spans="1:10">
      <c r="A9" s="73" t="s">
        <v>298</v>
      </c>
      <c r="B9" s="233">
        <v>0.7</v>
      </c>
      <c r="C9" s="233">
        <f t="shared" ref="C9:H9" si="0">B9+5%</f>
        <v>0.75</v>
      </c>
      <c r="D9" s="233">
        <f t="shared" si="0"/>
        <v>0.8</v>
      </c>
      <c r="E9" s="233">
        <f t="shared" si="0"/>
        <v>0.85000000000000009</v>
      </c>
      <c r="F9" s="233">
        <f t="shared" si="0"/>
        <v>0.90000000000000013</v>
      </c>
      <c r="G9" s="233">
        <f t="shared" si="0"/>
        <v>0.95000000000000018</v>
      </c>
      <c r="H9" s="233">
        <f t="shared" si="0"/>
        <v>1.0000000000000002</v>
      </c>
    </row>
    <row r="10" spans="1:10">
      <c r="A10" s="75" t="s">
        <v>315</v>
      </c>
      <c r="B10" s="161">
        <f t="shared" ref="B10:H10" si="1">$B$4*B9*$B$6</f>
        <v>8568</v>
      </c>
      <c r="C10" s="161">
        <f t="shared" si="1"/>
        <v>9180</v>
      </c>
      <c r="D10" s="161">
        <f t="shared" si="1"/>
        <v>9792</v>
      </c>
      <c r="E10" s="161">
        <f t="shared" si="1"/>
        <v>10404.000000000002</v>
      </c>
      <c r="F10" s="161">
        <f t="shared" si="1"/>
        <v>11016.000000000002</v>
      </c>
      <c r="G10" s="161">
        <f t="shared" si="1"/>
        <v>11628.000000000004</v>
      </c>
      <c r="H10" s="161">
        <f t="shared" si="1"/>
        <v>12240.000000000004</v>
      </c>
    </row>
    <row r="15" spans="1:10" ht="17.5">
      <c r="A15" s="411" t="s">
        <v>584</v>
      </c>
      <c r="B15" s="411"/>
      <c r="C15" s="411"/>
      <c r="D15" s="411"/>
      <c r="E15" s="411"/>
      <c r="F15" s="411"/>
      <c r="G15" s="411"/>
      <c r="H15" s="411"/>
      <c r="I15" s="411"/>
      <c r="J15" s="411"/>
    </row>
    <row r="16" spans="1:10">
      <c r="A16" s="12"/>
      <c r="B16" s="12"/>
      <c r="C16" s="12"/>
      <c r="D16" s="12"/>
      <c r="E16" s="12"/>
      <c r="F16" s="12"/>
      <c r="G16" s="12"/>
      <c r="H16" s="12"/>
    </row>
    <row r="17" spans="1:12">
      <c r="A17" s="72"/>
      <c r="B17" s="72"/>
      <c r="C17" s="72"/>
      <c r="D17" s="154">
        <v>1</v>
      </c>
      <c r="E17" s="152">
        <f>(D17*5%)+D17</f>
        <v>1.05</v>
      </c>
      <c r="F17" s="152">
        <f t="shared" ref="F17:J17" si="2">(E17*5%)+E17</f>
        <v>1.1025</v>
      </c>
      <c r="G17" s="152">
        <f t="shared" si="2"/>
        <v>1.1576250000000001</v>
      </c>
      <c r="H17" s="152">
        <f t="shared" si="2"/>
        <v>1.2155062500000002</v>
      </c>
      <c r="I17" s="152">
        <f t="shared" si="2"/>
        <v>1.2762815625000004</v>
      </c>
      <c r="J17" s="152">
        <f t="shared" si="2"/>
        <v>1.3400956406250004</v>
      </c>
    </row>
    <row r="18" spans="1:12">
      <c r="A18" s="124" t="s">
        <v>0</v>
      </c>
      <c r="B18" s="124" t="s">
        <v>133</v>
      </c>
      <c r="C18" s="124" t="s">
        <v>153</v>
      </c>
      <c r="D18" s="96" t="s">
        <v>2</v>
      </c>
      <c r="E18" s="96" t="s">
        <v>3</v>
      </c>
      <c r="F18" s="96" t="s">
        <v>4</v>
      </c>
      <c r="G18" s="96" t="s">
        <v>5</v>
      </c>
      <c r="H18" s="96" t="s">
        <v>6</v>
      </c>
      <c r="I18" s="96" t="s">
        <v>169</v>
      </c>
      <c r="J18" s="96" t="s">
        <v>168</v>
      </c>
    </row>
    <row r="19" spans="1:12">
      <c r="A19" s="73"/>
      <c r="B19" s="73"/>
      <c r="C19" s="73"/>
      <c r="D19" s="73"/>
      <c r="E19" s="73"/>
      <c r="F19" s="73"/>
      <c r="G19" s="73"/>
      <c r="H19" s="73"/>
      <c r="I19" s="73"/>
      <c r="J19" s="73"/>
    </row>
    <row r="20" spans="1:12">
      <c r="A20" s="75" t="s">
        <v>177</v>
      </c>
      <c r="B20" s="75"/>
      <c r="C20" s="75"/>
      <c r="D20" s="73"/>
      <c r="E20" s="73"/>
      <c r="F20" s="73"/>
      <c r="G20" s="73"/>
      <c r="H20" s="73"/>
      <c r="I20" s="73"/>
      <c r="J20" s="73"/>
    </row>
    <row r="21" spans="1:12">
      <c r="A21" s="73" t="s">
        <v>317</v>
      </c>
      <c r="B21" s="73"/>
      <c r="C21" s="214">
        <v>120</v>
      </c>
      <c r="D21" s="74">
        <f t="shared" ref="D21:J21" si="3">B10*$C$21*D17</f>
        <v>1028160</v>
      </c>
      <c r="E21" s="74">
        <f t="shared" si="3"/>
        <v>1156680</v>
      </c>
      <c r="F21" s="74">
        <f t="shared" si="3"/>
        <v>1295481.6000000001</v>
      </c>
      <c r="G21" s="74">
        <f t="shared" si="3"/>
        <v>1445271.6600000004</v>
      </c>
      <c r="H21" s="74">
        <f t="shared" si="3"/>
        <v>1606802.0220000006</v>
      </c>
      <c r="I21" s="74">
        <f t="shared" si="3"/>
        <v>1780872.241050001</v>
      </c>
      <c r="J21" s="74">
        <f t="shared" si="3"/>
        <v>1968332.4769500012</v>
      </c>
    </row>
    <row r="22" spans="1:12">
      <c r="A22" s="73"/>
      <c r="B22" s="73"/>
      <c r="C22" s="74"/>
      <c r="D22" s="74"/>
      <c r="E22" s="74"/>
      <c r="F22" s="74"/>
      <c r="G22" s="74"/>
      <c r="H22" s="74"/>
      <c r="I22" s="74"/>
      <c r="J22" s="74"/>
    </row>
    <row r="23" spans="1:12">
      <c r="A23" s="75" t="s">
        <v>144</v>
      </c>
      <c r="B23" s="75"/>
      <c r="C23" s="91"/>
      <c r="D23" s="74">
        <f>SUM(D21:D22)</f>
        <v>1028160</v>
      </c>
      <c r="E23" s="74">
        <f t="shared" ref="E23:J23" si="4">SUM(E21:E22)</f>
        <v>1156680</v>
      </c>
      <c r="F23" s="74">
        <f t="shared" si="4"/>
        <v>1295481.6000000001</v>
      </c>
      <c r="G23" s="74">
        <f t="shared" si="4"/>
        <v>1445271.6600000004</v>
      </c>
      <c r="H23" s="74">
        <f t="shared" si="4"/>
        <v>1606802.0220000006</v>
      </c>
      <c r="I23" s="74">
        <f t="shared" si="4"/>
        <v>1780872.241050001</v>
      </c>
      <c r="J23" s="74">
        <f t="shared" si="4"/>
        <v>1968332.4769500012</v>
      </c>
    </row>
    <row r="24" spans="1:12">
      <c r="A24" s="73"/>
      <c r="B24" s="73"/>
      <c r="C24" s="74"/>
      <c r="D24" s="74"/>
      <c r="E24" s="74"/>
      <c r="F24" s="74"/>
      <c r="G24" s="74"/>
      <c r="H24" s="74"/>
      <c r="I24" s="74"/>
      <c r="J24" s="74"/>
    </row>
    <row r="25" spans="1:12">
      <c r="A25" s="75" t="s">
        <v>143</v>
      </c>
      <c r="B25" s="75"/>
      <c r="C25" s="74"/>
      <c r="D25" s="74"/>
      <c r="E25" s="74"/>
      <c r="F25" s="74"/>
      <c r="G25" s="74"/>
      <c r="H25" s="74"/>
      <c r="I25" s="74"/>
      <c r="J25" s="74"/>
    </row>
    <row r="26" spans="1:12">
      <c r="A26" s="75" t="s">
        <v>307</v>
      </c>
      <c r="B26" s="75"/>
      <c r="C26" s="74"/>
      <c r="D26" s="74"/>
      <c r="E26" s="74"/>
      <c r="F26" s="74"/>
      <c r="G26" s="74"/>
      <c r="H26" s="74"/>
      <c r="I26" s="74"/>
      <c r="J26" s="74"/>
    </row>
    <row r="27" spans="1:12">
      <c r="A27" s="73" t="s">
        <v>299</v>
      </c>
      <c r="B27" s="194" t="s">
        <v>295</v>
      </c>
      <c r="C27" s="214">
        <v>14</v>
      </c>
      <c r="D27" s="74">
        <f>$B$4*$C$27*D17*2</f>
        <v>28560</v>
      </c>
      <c r="E27" s="74">
        <f t="shared" ref="E27:J27" si="5">$B$4*$C$27*E17*2</f>
        <v>29988</v>
      </c>
      <c r="F27" s="74">
        <f t="shared" si="5"/>
        <v>31487.4</v>
      </c>
      <c r="G27" s="74">
        <f t="shared" si="5"/>
        <v>33061.770000000004</v>
      </c>
      <c r="H27" s="74">
        <f t="shared" si="5"/>
        <v>34714.858500000009</v>
      </c>
      <c r="I27" s="74">
        <f t="shared" si="5"/>
        <v>36450.601425000008</v>
      </c>
      <c r="J27" s="74">
        <f t="shared" si="5"/>
        <v>38273.131496250011</v>
      </c>
      <c r="L27" s="52">
        <f>D27/2</f>
        <v>14280</v>
      </c>
    </row>
    <row r="28" spans="1:12">
      <c r="A28" s="73" t="s">
        <v>300</v>
      </c>
      <c r="B28" s="194" t="s">
        <v>295</v>
      </c>
      <c r="C28" s="214">
        <v>14</v>
      </c>
      <c r="D28" s="74">
        <f t="shared" ref="D28:J28" si="6">$B$4*$C$28*D17*12</f>
        <v>171360</v>
      </c>
      <c r="E28" s="74">
        <f t="shared" si="6"/>
        <v>179928</v>
      </c>
      <c r="F28" s="74">
        <f t="shared" si="6"/>
        <v>188924.40000000002</v>
      </c>
      <c r="G28" s="74">
        <f t="shared" si="6"/>
        <v>198370.62000000002</v>
      </c>
      <c r="H28" s="74">
        <f t="shared" si="6"/>
        <v>208289.15100000007</v>
      </c>
      <c r="I28" s="74">
        <f t="shared" si="6"/>
        <v>218703.60855000006</v>
      </c>
      <c r="J28" s="74">
        <f t="shared" si="6"/>
        <v>229638.78897750005</v>
      </c>
      <c r="L28" s="52">
        <f>D28/12</f>
        <v>14280</v>
      </c>
    </row>
    <row r="29" spans="1:12">
      <c r="A29" s="73" t="s">
        <v>301</v>
      </c>
      <c r="B29" s="194">
        <v>12</v>
      </c>
      <c r="C29" s="214">
        <v>5000</v>
      </c>
      <c r="D29" s="74">
        <f>$C$29*12*D17</f>
        <v>60000</v>
      </c>
      <c r="E29" s="74">
        <f t="shared" ref="E29:J29" si="7">$C$29*12*E17</f>
        <v>63000</v>
      </c>
      <c r="F29" s="74">
        <f t="shared" si="7"/>
        <v>66150</v>
      </c>
      <c r="G29" s="74">
        <f t="shared" si="7"/>
        <v>69457.500000000015</v>
      </c>
      <c r="H29" s="74">
        <f t="shared" si="7"/>
        <v>72930.375000000015</v>
      </c>
      <c r="I29" s="74">
        <f t="shared" si="7"/>
        <v>76576.893750000017</v>
      </c>
      <c r="J29" s="74">
        <f t="shared" si="7"/>
        <v>80405.738437500026</v>
      </c>
    </row>
    <row r="30" spans="1:12">
      <c r="A30" s="73" t="s">
        <v>802</v>
      </c>
      <c r="B30" s="194"/>
      <c r="C30" s="389">
        <v>1.5E-3</v>
      </c>
      <c r="D30" s="74">
        <f>(B10*5000)*$C$30*D17</f>
        <v>64260</v>
      </c>
      <c r="E30" s="74">
        <f t="shared" ref="E30:J30" si="8">(C10*5000)*$C$30*E17</f>
        <v>72292.5</v>
      </c>
      <c r="F30" s="74">
        <f t="shared" si="8"/>
        <v>80967.600000000006</v>
      </c>
      <c r="G30" s="74">
        <f t="shared" si="8"/>
        <v>90329.478750000024</v>
      </c>
      <c r="H30" s="74">
        <f t="shared" si="8"/>
        <v>100425.12637500004</v>
      </c>
      <c r="I30" s="74">
        <f t="shared" si="8"/>
        <v>111304.51506562506</v>
      </c>
      <c r="J30" s="74">
        <f t="shared" si="8"/>
        <v>123020.77980937508</v>
      </c>
    </row>
    <row r="31" spans="1:12">
      <c r="A31" s="73"/>
      <c r="B31" s="194"/>
      <c r="C31" s="214"/>
      <c r="D31" s="74"/>
      <c r="E31" s="74"/>
      <c r="F31" s="74"/>
      <c r="G31" s="74"/>
      <c r="H31" s="74"/>
      <c r="I31" s="74"/>
      <c r="J31" s="74"/>
    </row>
    <row r="32" spans="1:12">
      <c r="A32" s="73"/>
      <c r="B32" s="194"/>
      <c r="C32" s="214"/>
      <c r="D32" s="74"/>
      <c r="E32" s="74"/>
      <c r="F32" s="74"/>
      <c r="G32" s="74"/>
      <c r="H32" s="74"/>
      <c r="I32" s="74"/>
      <c r="J32" s="74"/>
    </row>
    <row r="33" spans="1:10">
      <c r="A33" s="73"/>
      <c r="B33" s="194"/>
      <c r="C33" s="214"/>
      <c r="D33" s="74"/>
      <c r="E33" s="74"/>
      <c r="F33" s="74"/>
      <c r="G33" s="74"/>
      <c r="H33" s="74"/>
      <c r="I33" s="74"/>
      <c r="J33" s="74"/>
    </row>
    <row r="34" spans="1:10">
      <c r="A34" s="75" t="s">
        <v>314</v>
      </c>
      <c r="B34" s="197"/>
      <c r="C34" s="218"/>
      <c r="D34" s="91">
        <f>SUM(D27:D33)</f>
        <v>324180</v>
      </c>
      <c r="E34" s="91">
        <f t="shared" ref="E34:J34" si="9">SUM(E27:E33)</f>
        <v>345208.5</v>
      </c>
      <c r="F34" s="91">
        <f t="shared" si="9"/>
        <v>367529.4</v>
      </c>
      <c r="G34" s="91">
        <f t="shared" si="9"/>
        <v>391219.36875000002</v>
      </c>
      <c r="H34" s="91">
        <f t="shared" si="9"/>
        <v>416359.51087500015</v>
      </c>
      <c r="I34" s="91">
        <f t="shared" si="9"/>
        <v>443035.61879062513</v>
      </c>
      <c r="J34" s="91">
        <f t="shared" si="9"/>
        <v>471338.43872062513</v>
      </c>
    </row>
    <row r="35" spans="1:10">
      <c r="A35" s="75"/>
      <c r="B35" s="197"/>
      <c r="C35" s="218"/>
      <c r="D35" s="91"/>
      <c r="E35" s="91"/>
      <c r="F35" s="91"/>
      <c r="G35" s="91"/>
      <c r="H35" s="91"/>
      <c r="I35" s="91"/>
      <c r="J35" s="91"/>
    </row>
    <row r="36" spans="1:10">
      <c r="A36" s="75" t="s">
        <v>306</v>
      </c>
      <c r="B36" s="194"/>
      <c r="C36" s="214"/>
      <c r="D36" s="74"/>
      <c r="E36" s="74"/>
      <c r="F36" s="74"/>
      <c r="G36" s="74"/>
      <c r="H36" s="74"/>
      <c r="I36" s="74"/>
      <c r="J36" s="74"/>
    </row>
    <row r="37" spans="1:10">
      <c r="A37" s="73" t="s">
        <v>316</v>
      </c>
      <c r="B37" s="194">
        <v>1</v>
      </c>
      <c r="C37" s="214">
        <v>10000</v>
      </c>
      <c r="D37" s="74">
        <f>$B$37*$C$37*D17*12</f>
        <v>120000</v>
      </c>
      <c r="E37" s="74">
        <f t="shared" ref="E37:J37" si="10">$B$37*$C$37*E17*12</f>
        <v>126000</v>
      </c>
      <c r="F37" s="74">
        <f t="shared" si="10"/>
        <v>132300</v>
      </c>
      <c r="G37" s="74">
        <f t="shared" si="10"/>
        <v>138915.00000000003</v>
      </c>
      <c r="H37" s="74">
        <f t="shared" si="10"/>
        <v>145860.75000000003</v>
      </c>
      <c r="I37" s="74">
        <f t="shared" si="10"/>
        <v>153153.78750000003</v>
      </c>
      <c r="J37" s="74">
        <f t="shared" si="10"/>
        <v>160811.47687500005</v>
      </c>
    </row>
    <row r="38" spans="1:10">
      <c r="A38" s="73"/>
      <c r="B38" s="194"/>
      <c r="C38" s="214"/>
      <c r="D38" s="74"/>
      <c r="E38" s="74"/>
      <c r="F38" s="74"/>
      <c r="G38" s="74"/>
      <c r="H38" s="74"/>
      <c r="I38" s="74"/>
      <c r="J38" s="74"/>
    </row>
    <row r="39" spans="1:10">
      <c r="A39" s="73"/>
      <c r="B39" s="194"/>
      <c r="C39" s="214"/>
      <c r="D39" s="74"/>
      <c r="E39" s="74"/>
      <c r="F39" s="74"/>
      <c r="G39" s="74"/>
      <c r="H39" s="74"/>
      <c r="I39" s="74"/>
      <c r="J39" s="74"/>
    </row>
    <row r="40" spans="1:10">
      <c r="A40" s="73"/>
      <c r="B40" s="194"/>
      <c r="C40" s="214"/>
      <c r="D40" s="74"/>
      <c r="E40" s="74"/>
      <c r="F40" s="74"/>
      <c r="G40" s="74"/>
      <c r="H40" s="74"/>
      <c r="I40" s="74"/>
      <c r="J40" s="74"/>
    </row>
    <row r="41" spans="1:10">
      <c r="A41" s="73"/>
      <c r="B41" s="194"/>
      <c r="C41" s="214"/>
      <c r="D41" s="74"/>
      <c r="E41" s="74"/>
      <c r="F41" s="74"/>
      <c r="G41" s="74"/>
      <c r="H41" s="74"/>
      <c r="I41" s="74"/>
      <c r="J41" s="74"/>
    </row>
    <row r="42" spans="1:10">
      <c r="A42" s="73"/>
      <c r="B42" s="194"/>
      <c r="C42" s="214"/>
      <c r="D42" s="74"/>
      <c r="E42" s="74"/>
      <c r="F42" s="74"/>
      <c r="G42" s="74"/>
      <c r="H42" s="74"/>
      <c r="I42" s="74"/>
      <c r="J42" s="74"/>
    </row>
    <row r="43" spans="1:10">
      <c r="A43" s="75" t="s">
        <v>318</v>
      </c>
      <c r="B43" s="75"/>
      <c r="C43" s="91"/>
      <c r="D43" s="91">
        <f>SUM(D37:D42)</f>
        <v>120000</v>
      </c>
      <c r="E43" s="91">
        <f t="shared" ref="E43:J43" si="11">SUM(E37:E42)</f>
        <v>126000</v>
      </c>
      <c r="F43" s="91">
        <f t="shared" si="11"/>
        <v>132300</v>
      </c>
      <c r="G43" s="91">
        <f t="shared" si="11"/>
        <v>138915.00000000003</v>
      </c>
      <c r="H43" s="91">
        <f t="shared" si="11"/>
        <v>145860.75000000003</v>
      </c>
      <c r="I43" s="91">
        <f t="shared" si="11"/>
        <v>153153.78750000003</v>
      </c>
      <c r="J43" s="91">
        <f t="shared" si="11"/>
        <v>160811.47687500005</v>
      </c>
    </row>
    <row r="44" spans="1:10">
      <c r="A44" s="75"/>
      <c r="B44" s="75"/>
      <c r="C44" s="91"/>
      <c r="D44" s="91"/>
      <c r="E44" s="91"/>
      <c r="F44" s="91"/>
      <c r="G44" s="91"/>
      <c r="H44" s="91"/>
      <c r="I44" s="91"/>
      <c r="J44" s="91"/>
    </row>
    <row r="45" spans="1:10">
      <c r="A45" s="75" t="s">
        <v>130</v>
      </c>
      <c r="B45" s="75"/>
      <c r="C45" s="91"/>
      <c r="D45" s="91">
        <f>D34+D43</f>
        <v>444180</v>
      </c>
      <c r="E45" s="91">
        <f t="shared" ref="E45:J45" si="12">E34+E43</f>
        <v>471208.5</v>
      </c>
      <c r="F45" s="91">
        <f t="shared" si="12"/>
        <v>499829.4</v>
      </c>
      <c r="G45" s="91">
        <f t="shared" si="12"/>
        <v>530134.36875000002</v>
      </c>
      <c r="H45" s="91">
        <f t="shared" si="12"/>
        <v>562220.26087500015</v>
      </c>
      <c r="I45" s="91">
        <f t="shared" si="12"/>
        <v>596189.40629062522</v>
      </c>
      <c r="J45" s="91">
        <f t="shared" si="12"/>
        <v>632149.91559562518</v>
      </c>
    </row>
    <row r="46" spans="1:10">
      <c r="A46" s="73"/>
      <c r="B46" s="73"/>
      <c r="C46" s="74"/>
      <c r="D46" s="74"/>
      <c r="E46" s="74"/>
      <c r="F46" s="74"/>
      <c r="G46" s="74"/>
      <c r="H46" s="74"/>
      <c r="I46" s="74"/>
      <c r="J46" s="74"/>
    </row>
    <row r="47" spans="1:10">
      <c r="A47" s="75" t="s">
        <v>129</v>
      </c>
      <c r="B47" s="75"/>
      <c r="C47" s="91"/>
      <c r="D47" s="91">
        <f t="shared" ref="D47:J47" si="13">D23-D45</f>
        <v>583980</v>
      </c>
      <c r="E47" s="91">
        <f t="shared" si="13"/>
        <v>685471.5</v>
      </c>
      <c r="F47" s="91">
        <f t="shared" si="13"/>
        <v>795652.20000000007</v>
      </c>
      <c r="G47" s="91">
        <f t="shared" si="13"/>
        <v>915137.29125000036</v>
      </c>
      <c r="H47" s="91">
        <f t="shared" si="13"/>
        <v>1044581.7611250004</v>
      </c>
      <c r="I47" s="91">
        <f t="shared" si="13"/>
        <v>1184682.8347593758</v>
      </c>
      <c r="J47" s="91">
        <f t="shared" si="13"/>
        <v>1336182.5613543759</v>
      </c>
    </row>
    <row r="48" spans="1:10">
      <c r="A48" s="72"/>
      <c r="B48" s="72"/>
      <c r="C48" s="72"/>
      <c r="D48" s="72"/>
      <c r="E48" s="72"/>
      <c r="F48" s="72"/>
      <c r="G48" s="72"/>
      <c r="H48" s="72"/>
      <c r="I48" s="72"/>
      <c r="J48" s="72"/>
    </row>
    <row r="49" spans="1:10">
      <c r="A49" s="72"/>
    </row>
    <row r="51" spans="1:10">
      <c r="A51" s="410" t="s">
        <v>413</v>
      </c>
      <c r="B51" s="410"/>
      <c r="C51" s="410"/>
      <c r="D51" s="410"/>
      <c r="E51" s="410"/>
      <c r="F51" s="410"/>
      <c r="G51" s="410"/>
      <c r="H51" s="410"/>
      <c r="I51" s="410"/>
      <c r="J51" s="410"/>
    </row>
    <row r="53" spans="1:10">
      <c r="A53" t="s">
        <v>530</v>
      </c>
    </row>
    <row r="54" spans="1:10">
      <c r="A54">
        <v>1</v>
      </c>
      <c r="B54" t="s">
        <v>543</v>
      </c>
    </row>
    <row r="55" spans="1:10">
      <c r="A55">
        <v>2</v>
      </c>
      <c r="B55" t="s">
        <v>544</v>
      </c>
    </row>
    <row r="56" spans="1:10">
      <c r="A56">
        <v>3</v>
      </c>
      <c r="B56" s="72" t="s">
        <v>595</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topLeftCell="A21" zoomScale="80" zoomScaleSheetLayoutView="80" workbookViewId="0">
      <selection activeCell="D28" sqref="D28"/>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411" t="s">
        <v>585</v>
      </c>
      <c r="B3" s="411"/>
      <c r="C3" s="411"/>
      <c r="D3" s="411"/>
      <c r="E3" s="411"/>
      <c r="F3" s="411"/>
      <c r="G3" s="411"/>
      <c r="H3" s="411"/>
      <c r="I3" s="411"/>
      <c r="J3" s="411"/>
      <c r="K3" s="411"/>
      <c r="L3" s="411"/>
    </row>
    <row r="4" spans="1:13" ht="17.5">
      <c r="A4" s="411" t="s">
        <v>586</v>
      </c>
      <c r="B4" s="411"/>
      <c r="C4" s="411"/>
      <c r="D4" s="411"/>
      <c r="E4" s="411"/>
      <c r="F4" s="411"/>
      <c r="G4" s="411"/>
      <c r="H4" s="411"/>
      <c r="I4" s="411"/>
      <c r="J4" s="411"/>
      <c r="K4" s="411"/>
      <c r="L4" s="411"/>
    </row>
    <row r="5" spans="1:13">
      <c r="A5" s="72"/>
      <c r="B5" s="72"/>
      <c r="C5" s="72"/>
    </row>
    <row r="6" spans="1:13">
      <c r="A6" s="72"/>
      <c r="B6" s="72"/>
      <c r="C6" s="72"/>
    </row>
    <row r="7" spans="1:13" ht="43.5">
      <c r="A7" s="242" t="s">
        <v>146</v>
      </c>
      <c r="B7" s="243" t="s">
        <v>421</v>
      </c>
      <c r="C7" s="243" t="s">
        <v>427</v>
      </c>
      <c r="D7" s="243" t="s">
        <v>425</v>
      </c>
      <c r="E7" s="243" t="s">
        <v>426</v>
      </c>
      <c r="F7" s="243" t="s">
        <v>302</v>
      </c>
      <c r="G7" s="243" t="s">
        <v>428</v>
      </c>
      <c r="H7" s="243" t="s">
        <v>429</v>
      </c>
      <c r="I7" s="243" t="s">
        <v>430</v>
      </c>
      <c r="J7" s="245" t="s">
        <v>433</v>
      </c>
      <c r="K7" s="243" t="s">
        <v>431</v>
      </c>
      <c r="L7" s="245" t="s">
        <v>432</v>
      </c>
      <c r="M7" s="243" t="s">
        <v>435</v>
      </c>
    </row>
    <row r="8" spans="1:13">
      <c r="A8" s="244">
        <v>1</v>
      </c>
      <c r="B8" s="238" t="s">
        <v>719</v>
      </c>
      <c r="C8" s="238">
        <v>1</v>
      </c>
      <c r="D8" s="238"/>
      <c r="E8" s="238">
        <v>8</v>
      </c>
      <c r="F8" s="9">
        <f>D8*E8*C8</f>
        <v>0</v>
      </c>
      <c r="G8" s="238">
        <v>4</v>
      </c>
      <c r="H8" s="9">
        <f>F8/G8</f>
        <v>0</v>
      </c>
      <c r="I8" s="238">
        <v>12</v>
      </c>
      <c r="J8" s="9">
        <f>H8*I8</f>
        <v>0</v>
      </c>
      <c r="K8" s="238">
        <v>3000</v>
      </c>
      <c r="L8" s="238">
        <v>1</v>
      </c>
      <c r="M8" s="9">
        <f t="shared" ref="M8:M16" si="0">D8*L8</f>
        <v>0</v>
      </c>
    </row>
    <row r="9" spans="1:13">
      <c r="A9" s="244">
        <v>2</v>
      </c>
      <c r="B9" s="238" t="s">
        <v>422</v>
      </c>
      <c r="C9" s="238">
        <v>1</v>
      </c>
      <c r="D9" s="238"/>
      <c r="E9" s="238">
        <v>8</v>
      </c>
      <c r="F9" s="9">
        <f t="shared" ref="F9:F16" si="1">D9*E9*C9</f>
        <v>0</v>
      </c>
      <c r="G9" s="238">
        <v>2</v>
      </c>
      <c r="H9" s="9">
        <f>F9/G9</f>
        <v>0</v>
      </c>
      <c r="I9" s="238">
        <v>8</v>
      </c>
      <c r="J9" s="9">
        <f t="shared" ref="J9:J16" si="2">H9*I9</f>
        <v>0</v>
      </c>
      <c r="K9" s="238">
        <v>1800</v>
      </c>
      <c r="L9" s="238">
        <v>1</v>
      </c>
      <c r="M9" s="9">
        <f t="shared" si="0"/>
        <v>0</v>
      </c>
    </row>
    <row r="10" spans="1:13">
      <c r="A10" s="244">
        <v>3</v>
      </c>
      <c r="B10" s="238" t="s">
        <v>423</v>
      </c>
      <c r="C10" s="238">
        <v>1</v>
      </c>
      <c r="D10" s="238"/>
      <c r="E10" s="238">
        <v>8</v>
      </c>
      <c r="F10" s="9">
        <f t="shared" si="1"/>
        <v>0</v>
      </c>
      <c r="G10" s="238">
        <v>2</v>
      </c>
      <c r="H10" s="9">
        <f>F10/G10</f>
        <v>0</v>
      </c>
      <c r="I10" s="238">
        <v>8</v>
      </c>
      <c r="J10" s="9">
        <f t="shared" si="2"/>
        <v>0</v>
      </c>
      <c r="K10" s="238">
        <v>1800</v>
      </c>
      <c r="L10" s="238">
        <v>1</v>
      </c>
      <c r="M10" s="9">
        <f t="shared" si="0"/>
        <v>0</v>
      </c>
    </row>
    <row r="11" spans="1:13">
      <c r="A11" s="244">
        <v>5</v>
      </c>
      <c r="B11" s="238" t="s">
        <v>424</v>
      </c>
      <c r="C11" s="238">
        <v>1</v>
      </c>
      <c r="D11" s="238"/>
      <c r="E11" s="238">
        <v>8</v>
      </c>
      <c r="F11" s="9">
        <f t="shared" si="1"/>
        <v>0</v>
      </c>
      <c r="G11" s="238">
        <v>2</v>
      </c>
      <c r="H11" s="9">
        <f>F11/G11</f>
        <v>0</v>
      </c>
      <c r="I11" s="238">
        <v>10</v>
      </c>
      <c r="J11" s="9">
        <f t="shared" si="2"/>
        <v>0</v>
      </c>
      <c r="K11" s="238">
        <v>1500</v>
      </c>
      <c r="L11" s="238">
        <v>1</v>
      </c>
      <c r="M11" s="9">
        <f t="shared" si="0"/>
        <v>0</v>
      </c>
    </row>
    <row r="12" spans="1:13">
      <c r="A12" s="244">
        <v>6</v>
      </c>
      <c r="B12" s="9">
        <f>'2.Capex Details'!C27</f>
        <v>0</v>
      </c>
      <c r="C12" s="238">
        <v>1</v>
      </c>
      <c r="D12" s="238"/>
      <c r="E12" s="238">
        <v>8</v>
      </c>
      <c r="F12" s="9">
        <f t="shared" si="1"/>
        <v>0</v>
      </c>
      <c r="G12" s="238">
        <v>2</v>
      </c>
      <c r="H12" s="9">
        <f t="shared" ref="H12:H16" si="3">F12/G12</f>
        <v>0</v>
      </c>
      <c r="I12" s="238">
        <v>7</v>
      </c>
      <c r="J12" s="9">
        <f t="shared" si="2"/>
        <v>0</v>
      </c>
      <c r="K12" s="238">
        <v>800</v>
      </c>
      <c r="L12" s="238">
        <v>1</v>
      </c>
      <c r="M12" s="9">
        <f t="shared" si="0"/>
        <v>0</v>
      </c>
    </row>
    <row r="13" spans="1:13">
      <c r="A13" s="244">
        <v>7</v>
      </c>
      <c r="B13" s="9" t="e">
        <f>Sheet1!#REF!</f>
        <v>#REF!</v>
      </c>
      <c r="C13" s="238">
        <v>1</v>
      </c>
      <c r="D13" s="238"/>
      <c r="E13" s="238">
        <v>8</v>
      </c>
      <c r="F13" s="9">
        <f t="shared" si="1"/>
        <v>0</v>
      </c>
      <c r="G13" s="238">
        <v>3</v>
      </c>
      <c r="H13" s="9">
        <f t="shared" si="3"/>
        <v>0</v>
      </c>
      <c r="I13" s="238">
        <v>10</v>
      </c>
      <c r="J13" s="9">
        <f t="shared" si="2"/>
        <v>0</v>
      </c>
      <c r="K13" s="238">
        <v>1000</v>
      </c>
      <c r="L13" s="238">
        <v>1</v>
      </c>
      <c r="M13" s="9">
        <f t="shared" si="0"/>
        <v>0</v>
      </c>
    </row>
    <row r="14" spans="1:13">
      <c r="A14" s="244">
        <v>8</v>
      </c>
      <c r="B14" s="9">
        <f>'2.Capex Details'!C28</f>
        <v>0</v>
      </c>
      <c r="C14" s="238">
        <v>1</v>
      </c>
      <c r="D14" s="238"/>
      <c r="E14" s="238">
        <v>8</v>
      </c>
      <c r="F14" s="9">
        <f t="shared" si="1"/>
        <v>0</v>
      </c>
      <c r="G14" s="238">
        <v>3</v>
      </c>
      <c r="H14" s="9">
        <f t="shared" si="3"/>
        <v>0</v>
      </c>
      <c r="I14" s="238">
        <v>10</v>
      </c>
      <c r="J14" s="9">
        <f t="shared" si="2"/>
        <v>0</v>
      </c>
      <c r="K14" s="238">
        <v>1200</v>
      </c>
      <c r="L14" s="238">
        <v>1</v>
      </c>
      <c r="M14" s="9">
        <f t="shared" si="0"/>
        <v>0</v>
      </c>
    </row>
    <row r="15" spans="1:13">
      <c r="A15" s="244">
        <v>9</v>
      </c>
      <c r="B15" s="9">
        <f>'2.Capex Details'!C31</f>
        <v>0</v>
      </c>
      <c r="C15" s="238">
        <v>1</v>
      </c>
      <c r="D15" s="238"/>
      <c r="E15" s="238">
        <v>8</v>
      </c>
      <c r="F15" s="9">
        <f t="shared" si="1"/>
        <v>0</v>
      </c>
      <c r="G15" s="238">
        <v>3</v>
      </c>
      <c r="H15" s="9">
        <f t="shared" si="3"/>
        <v>0</v>
      </c>
      <c r="I15" s="238">
        <v>8</v>
      </c>
      <c r="J15" s="9">
        <f t="shared" si="2"/>
        <v>0</v>
      </c>
      <c r="K15" s="238">
        <v>1000</v>
      </c>
      <c r="L15" s="238">
        <v>1</v>
      </c>
      <c r="M15" s="9">
        <f t="shared" si="0"/>
        <v>0</v>
      </c>
    </row>
    <row r="16" spans="1:13">
      <c r="A16" s="244">
        <v>10</v>
      </c>
      <c r="B16" s="9">
        <f>'2.Capex Details'!C23</f>
        <v>0</v>
      </c>
      <c r="C16" s="238">
        <v>1</v>
      </c>
      <c r="D16" s="238"/>
      <c r="E16" s="238">
        <v>8</v>
      </c>
      <c r="F16" s="9">
        <f t="shared" si="1"/>
        <v>0</v>
      </c>
      <c r="G16" s="238">
        <v>4</v>
      </c>
      <c r="H16" s="9">
        <f t="shared" si="3"/>
        <v>0</v>
      </c>
      <c r="I16" s="238">
        <v>6</v>
      </c>
      <c r="J16" s="9">
        <f t="shared" si="2"/>
        <v>0</v>
      </c>
      <c r="K16" s="238">
        <v>800</v>
      </c>
      <c r="L16" s="238">
        <v>1</v>
      </c>
      <c r="M16" s="9">
        <f t="shared" si="0"/>
        <v>0</v>
      </c>
    </row>
    <row r="17" spans="1:16">
      <c r="A17" s="13"/>
      <c r="B17" s="13"/>
    </row>
    <row r="18" spans="1:16">
      <c r="A18" s="13"/>
      <c r="B18" s="13"/>
    </row>
    <row r="20" spans="1:16" ht="17.5">
      <c r="A20" s="411" t="s">
        <v>587</v>
      </c>
      <c r="B20" s="411"/>
      <c r="C20" s="411"/>
      <c r="D20" s="411"/>
      <c r="E20" s="411"/>
      <c r="F20" s="411"/>
      <c r="G20" s="411"/>
      <c r="H20" s="411"/>
      <c r="I20" s="411"/>
      <c r="J20" s="411"/>
      <c r="K20" s="411"/>
    </row>
    <row r="22" spans="1:16">
      <c r="A22" s="72"/>
      <c r="B22" s="72"/>
      <c r="C22" s="72"/>
      <c r="D22" s="72"/>
      <c r="E22" s="154">
        <v>1</v>
      </c>
      <c r="F22" s="152">
        <f>(E22*5%)+E22</f>
        <v>1.05</v>
      </c>
      <c r="G22" s="152">
        <f t="shared" ref="G22:K22" si="4">(F22*5%)+F22</f>
        <v>1.1025</v>
      </c>
      <c r="H22" s="152">
        <f t="shared" si="4"/>
        <v>1.1576250000000001</v>
      </c>
      <c r="I22" s="152">
        <f t="shared" si="4"/>
        <v>1.2155062500000002</v>
      </c>
      <c r="J22" s="152">
        <f t="shared" si="4"/>
        <v>1.2762815625000004</v>
      </c>
      <c r="K22" s="152">
        <f t="shared" si="4"/>
        <v>1.3400956406250004</v>
      </c>
    </row>
    <row r="23" spans="1:16">
      <c r="A23" s="124" t="s">
        <v>0</v>
      </c>
      <c r="B23" s="124" t="s">
        <v>133</v>
      </c>
      <c r="C23" s="124" t="s">
        <v>147</v>
      </c>
      <c r="D23" s="124" t="s">
        <v>153</v>
      </c>
      <c r="E23" s="96" t="s">
        <v>2</v>
      </c>
      <c r="F23" s="96" t="s">
        <v>3</v>
      </c>
      <c r="G23" s="96" t="s">
        <v>4</v>
      </c>
      <c r="H23" s="96" t="s">
        <v>5</v>
      </c>
      <c r="I23" s="96" t="s">
        <v>6</v>
      </c>
      <c r="J23" s="96" t="s">
        <v>169</v>
      </c>
      <c r="K23" s="96" t="s">
        <v>168</v>
      </c>
    </row>
    <row r="24" spans="1:16">
      <c r="A24" s="75"/>
      <c r="B24" s="75"/>
      <c r="C24" s="75"/>
      <c r="D24" s="75"/>
      <c r="E24" s="73"/>
      <c r="F24" s="73"/>
      <c r="G24" s="73"/>
      <c r="H24" s="73"/>
      <c r="I24" s="73"/>
      <c r="J24" s="73"/>
      <c r="K24" s="73"/>
    </row>
    <row r="25" spans="1:16">
      <c r="A25" s="75" t="s">
        <v>127</v>
      </c>
      <c r="B25" s="75"/>
      <c r="C25" s="75"/>
      <c r="D25" s="75"/>
      <c r="E25" s="73"/>
      <c r="F25" s="73"/>
      <c r="G25" s="73"/>
      <c r="H25" s="73"/>
      <c r="I25" s="73"/>
      <c r="J25" s="73"/>
      <c r="K25" s="73"/>
      <c r="P25" s="72"/>
    </row>
    <row r="26" spans="1:16">
      <c r="A26" s="166" t="s">
        <v>437</v>
      </c>
      <c r="B26" s="85"/>
      <c r="C26" s="85"/>
      <c r="D26" s="85"/>
      <c r="E26" s="74"/>
      <c r="F26" s="74"/>
      <c r="G26" s="74"/>
      <c r="H26" s="74"/>
      <c r="I26" s="74"/>
      <c r="J26" s="74"/>
      <c r="K26" s="74"/>
      <c r="P26" s="72"/>
    </row>
    <row r="27" spans="1:16">
      <c r="A27" s="85" t="str">
        <f>B8</f>
        <v>Combine Harvestor</v>
      </c>
      <c r="B27" s="85" t="s">
        <v>692</v>
      </c>
      <c r="C27" s="85">
        <f t="shared" ref="C27:C36" si="5">H8</f>
        <v>0</v>
      </c>
      <c r="D27" s="85">
        <f t="shared" ref="D27:D36" si="6">K8</f>
        <v>3000</v>
      </c>
      <c r="E27" s="74">
        <f>$C$27*$D$27*E22</f>
        <v>0</v>
      </c>
      <c r="F27" s="74">
        <f t="shared" ref="F27:K27" si="7">$C$27*$D$27*F22</f>
        <v>0</v>
      </c>
      <c r="G27" s="74">
        <f t="shared" si="7"/>
        <v>0</v>
      </c>
      <c r="H27" s="74">
        <f t="shared" si="7"/>
        <v>0</v>
      </c>
      <c r="I27" s="74">
        <f t="shared" si="7"/>
        <v>0</v>
      </c>
      <c r="J27" s="74">
        <f t="shared" si="7"/>
        <v>0</v>
      </c>
      <c r="K27" s="74">
        <f t="shared" si="7"/>
        <v>0</v>
      </c>
      <c r="P27" s="72"/>
    </row>
    <row r="28" spans="1:16">
      <c r="A28" s="85" t="str">
        <f>B9</f>
        <v>Cultivator</v>
      </c>
      <c r="B28" s="85" t="s">
        <v>692</v>
      </c>
      <c r="C28" s="85">
        <f t="shared" si="5"/>
        <v>0</v>
      </c>
      <c r="D28" s="85">
        <f t="shared" si="6"/>
        <v>1800</v>
      </c>
      <c r="E28" s="74">
        <f>$C$28*$D$28*E22</f>
        <v>0</v>
      </c>
      <c r="F28" s="74">
        <f t="shared" ref="F28:K28" si="8">$C$28*$D$28*F22</f>
        <v>0</v>
      </c>
      <c r="G28" s="74">
        <f t="shared" si="8"/>
        <v>0</v>
      </c>
      <c r="H28" s="74">
        <f t="shared" si="8"/>
        <v>0</v>
      </c>
      <c r="I28" s="74">
        <f t="shared" si="8"/>
        <v>0</v>
      </c>
      <c r="J28" s="74">
        <f t="shared" si="8"/>
        <v>0</v>
      </c>
      <c r="K28" s="74">
        <f t="shared" si="8"/>
        <v>0</v>
      </c>
      <c r="P28" s="72"/>
    </row>
    <row r="29" spans="1:16">
      <c r="A29" s="85" t="str">
        <f>B10</f>
        <v>Rotavator</v>
      </c>
      <c r="B29" s="85" t="s">
        <v>692</v>
      </c>
      <c r="C29" s="85">
        <f t="shared" si="5"/>
        <v>0</v>
      </c>
      <c r="D29" s="85">
        <f t="shared" si="6"/>
        <v>1800</v>
      </c>
      <c r="E29" s="74">
        <f>$C$29*$D$29*E22</f>
        <v>0</v>
      </c>
      <c r="F29" s="74">
        <f t="shared" ref="F29:K29" si="9">$C$29*$D$29*F22</f>
        <v>0</v>
      </c>
      <c r="G29" s="74">
        <f t="shared" si="9"/>
        <v>0</v>
      </c>
      <c r="H29" s="74">
        <f t="shared" si="9"/>
        <v>0</v>
      </c>
      <c r="I29" s="74">
        <f t="shared" si="9"/>
        <v>0</v>
      </c>
      <c r="J29" s="74">
        <f t="shared" si="9"/>
        <v>0</v>
      </c>
      <c r="K29" s="74">
        <f t="shared" si="9"/>
        <v>0</v>
      </c>
      <c r="P29" s="72"/>
    </row>
    <row r="30" spans="1:16">
      <c r="A30" s="85" t="str">
        <f>B11</f>
        <v>Mobile Threshing</v>
      </c>
      <c r="B30" s="85" t="s">
        <v>692</v>
      </c>
      <c r="C30" s="85">
        <f t="shared" si="5"/>
        <v>0</v>
      </c>
      <c r="D30" s="85">
        <f t="shared" si="6"/>
        <v>1500</v>
      </c>
      <c r="E30" s="74">
        <f t="shared" ref="E30:K30" si="10">$C$30*$D$30*E22</f>
        <v>0</v>
      </c>
      <c r="F30" s="74">
        <f t="shared" si="10"/>
        <v>0</v>
      </c>
      <c r="G30" s="74">
        <f t="shared" si="10"/>
        <v>0</v>
      </c>
      <c r="H30" s="74">
        <f t="shared" si="10"/>
        <v>0</v>
      </c>
      <c r="I30" s="74">
        <f t="shared" si="10"/>
        <v>0</v>
      </c>
      <c r="J30" s="74">
        <f t="shared" si="10"/>
        <v>0</v>
      </c>
      <c r="K30" s="74">
        <f t="shared" si="10"/>
        <v>0</v>
      </c>
      <c r="P30" s="72"/>
    </row>
    <row r="31" spans="1:16">
      <c r="A31" s="85">
        <f t="shared" ref="A31:A36" si="11">B12</f>
        <v>0</v>
      </c>
      <c r="B31" s="85" t="s">
        <v>692</v>
      </c>
      <c r="C31" s="85">
        <f t="shared" si="5"/>
        <v>0</v>
      </c>
      <c r="D31" s="85">
        <f t="shared" si="6"/>
        <v>800</v>
      </c>
      <c r="E31" s="74">
        <f t="shared" ref="E31:K31" si="12">$C$31*$D$31*E22</f>
        <v>0</v>
      </c>
      <c r="F31" s="74">
        <f t="shared" si="12"/>
        <v>0</v>
      </c>
      <c r="G31" s="74">
        <f t="shared" si="12"/>
        <v>0</v>
      </c>
      <c r="H31" s="74">
        <f t="shared" si="12"/>
        <v>0</v>
      </c>
      <c r="I31" s="74">
        <f t="shared" si="12"/>
        <v>0</v>
      </c>
      <c r="J31" s="74">
        <f t="shared" si="12"/>
        <v>0</v>
      </c>
      <c r="K31" s="74">
        <f t="shared" si="12"/>
        <v>0</v>
      </c>
      <c r="P31" s="72"/>
    </row>
    <row r="32" spans="1:16">
      <c r="A32" s="85" t="e">
        <f t="shared" si="11"/>
        <v>#REF!</v>
      </c>
      <c r="B32" s="85" t="s">
        <v>692</v>
      </c>
      <c r="C32" s="85">
        <f t="shared" si="5"/>
        <v>0</v>
      </c>
      <c r="D32" s="85">
        <f t="shared" si="6"/>
        <v>1000</v>
      </c>
      <c r="E32" s="74">
        <f t="shared" ref="E32:K32" si="13">$C$32*$D$32*E22</f>
        <v>0</v>
      </c>
      <c r="F32" s="74">
        <f t="shared" si="13"/>
        <v>0</v>
      </c>
      <c r="G32" s="74">
        <f t="shared" si="13"/>
        <v>0</v>
      </c>
      <c r="H32" s="74">
        <f t="shared" si="13"/>
        <v>0</v>
      </c>
      <c r="I32" s="74">
        <f t="shared" si="13"/>
        <v>0</v>
      </c>
      <c r="J32" s="74">
        <f t="shared" si="13"/>
        <v>0</v>
      </c>
      <c r="K32" s="74">
        <f t="shared" si="13"/>
        <v>0</v>
      </c>
      <c r="P32" s="72"/>
    </row>
    <row r="33" spans="1:16">
      <c r="A33" s="85">
        <f t="shared" si="11"/>
        <v>0</v>
      </c>
      <c r="B33" s="85" t="s">
        <v>692</v>
      </c>
      <c r="C33" s="85">
        <f t="shared" si="5"/>
        <v>0</v>
      </c>
      <c r="D33" s="85">
        <f t="shared" si="6"/>
        <v>1200</v>
      </c>
      <c r="E33" s="74">
        <f t="shared" ref="E33:K33" si="14">$C$33*$D$33*E22</f>
        <v>0</v>
      </c>
      <c r="F33" s="74">
        <f t="shared" si="14"/>
        <v>0</v>
      </c>
      <c r="G33" s="74">
        <f t="shared" si="14"/>
        <v>0</v>
      </c>
      <c r="H33" s="74">
        <f t="shared" si="14"/>
        <v>0</v>
      </c>
      <c r="I33" s="74">
        <f t="shared" si="14"/>
        <v>0</v>
      </c>
      <c r="J33" s="74">
        <f t="shared" si="14"/>
        <v>0</v>
      </c>
      <c r="K33" s="74">
        <f t="shared" si="14"/>
        <v>0</v>
      </c>
      <c r="P33" s="72"/>
    </row>
    <row r="34" spans="1:16">
      <c r="A34" s="85">
        <f t="shared" si="11"/>
        <v>0</v>
      </c>
      <c r="B34" s="85" t="s">
        <v>692</v>
      </c>
      <c r="C34" s="85">
        <f t="shared" si="5"/>
        <v>0</v>
      </c>
      <c r="D34" s="85">
        <f t="shared" si="6"/>
        <v>1000</v>
      </c>
      <c r="E34" s="74">
        <f t="shared" ref="E34:K34" si="15">$C$34*$D$34*E22</f>
        <v>0</v>
      </c>
      <c r="F34" s="74">
        <f t="shared" si="15"/>
        <v>0</v>
      </c>
      <c r="G34" s="74">
        <f t="shared" si="15"/>
        <v>0</v>
      </c>
      <c r="H34" s="74">
        <f t="shared" si="15"/>
        <v>0</v>
      </c>
      <c r="I34" s="74">
        <f t="shared" si="15"/>
        <v>0</v>
      </c>
      <c r="J34" s="74">
        <f t="shared" si="15"/>
        <v>0</v>
      </c>
      <c r="K34" s="74">
        <f t="shared" si="15"/>
        <v>0</v>
      </c>
      <c r="P34" s="72"/>
    </row>
    <row r="35" spans="1:16">
      <c r="A35" s="85">
        <f t="shared" si="11"/>
        <v>0</v>
      </c>
      <c r="B35" s="85" t="s">
        <v>692</v>
      </c>
      <c r="C35" s="85">
        <f t="shared" si="5"/>
        <v>0</v>
      </c>
      <c r="D35" s="85">
        <f t="shared" si="6"/>
        <v>800</v>
      </c>
      <c r="E35" s="74">
        <f t="shared" ref="E35:K35" si="16">$C$35*$D$35*E22</f>
        <v>0</v>
      </c>
      <c r="F35" s="74">
        <f t="shared" si="16"/>
        <v>0</v>
      </c>
      <c r="G35" s="74">
        <f t="shared" si="16"/>
        <v>0</v>
      </c>
      <c r="H35" s="74">
        <f t="shared" si="16"/>
        <v>0</v>
      </c>
      <c r="I35" s="74">
        <f t="shared" si="16"/>
        <v>0</v>
      </c>
      <c r="J35" s="74">
        <f t="shared" si="16"/>
        <v>0</v>
      </c>
      <c r="K35" s="74">
        <f t="shared" si="16"/>
        <v>0</v>
      </c>
      <c r="P35" s="72"/>
    </row>
    <row r="36" spans="1:16">
      <c r="A36" s="85">
        <f t="shared" si="11"/>
        <v>0</v>
      </c>
      <c r="B36" s="75"/>
      <c r="C36" s="85">
        <f t="shared" si="5"/>
        <v>0</v>
      </c>
      <c r="D36" s="85">
        <f t="shared" si="6"/>
        <v>0</v>
      </c>
      <c r="E36" s="74">
        <f t="shared" ref="E36:K36" si="17">$C$36*$D$36*E22</f>
        <v>0</v>
      </c>
      <c r="F36" s="74">
        <f t="shared" si="17"/>
        <v>0</v>
      </c>
      <c r="G36" s="74">
        <f t="shared" si="17"/>
        <v>0</v>
      </c>
      <c r="H36" s="74">
        <f t="shared" si="17"/>
        <v>0</v>
      </c>
      <c r="I36" s="74">
        <f t="shared" si="17"/>
        <v>0</v>
      </c>
      <c r="J36" s="74">
        <f t="shared" si="17"/>
        <v>0</v>
      </c>
      <c r="K36" s="74">
        <f t="shared" si="17"/>
        <v>0</v>
      </c>
      <c r="P36" s="72"/>
    </row>
    <row r="37" spans="1:16">
      <c r="A37" s="75" t="s">
        <v>144</v>
      </c>
      <c r="B37" s="75"/>
      <c r="C37" s="75"/>
      <c r="D37" s="75"/>
      <c r="E37" s="74">
        <f t="shared" ref="E37:K37" si="18">SUM(E27:E36)</f>
        <v>0</v>
      </c>
      <c r="F37" s="74">
        <f t="shared" si="18"/>
        <v>0</v>
      </c>
      <c r="G37" s="74">
        <f t="shared" si="18"/>
        <v>0</v>
      </c>
      <c r="H37" s="74">
        <f t="shared" si="18"/>
        <v>0</v>
      </c>
      <c r="I37" s="74">
        <f t="shared" si="18"/>
        <v>0</v>
      </c>
      <c r="J37" s="74">
        <f t="shared" si="18"/>
        <v>0</v>
      </c>
      <c r="K37" s="74">
        <f t="shared" si="18"/>
        <v>0</v>
      </c>
      <c r="P37" s="72"/>
    </row>
    <row r="38" spans="1:16">
      <c r="A38" s="73"/>
      <c r="B38" s="73"/>
      <c r="C38" s="73"/>
      <c r="D38" s="73"/>
      <c r="E38" s="74"/>
      <c r="F38" s="74"/>
      <c r="G38" s="74"/>
      <c r="H38" s="74"/>
      <c r="I38" s="74"/>
      <c r="J38" s="74"/>
      <c r="K38" s="74"/>
      <c r="P38" s="72"/>
    </row>
    <row r="39" spans="1:16">
      <c r="A39" s="75" t="s">
        <v>143</v>
      </c>
      <c r="B39" s="75"/>
      <c r="C39" s="75"/>
      <c r="D39" s="75"/>
      <c r="E39" s="74"/>
      <c r="F39" s="74"/>
      <c r="G39" s="74"/>
      <c r="H39" s="74"/>
      <c r="I39" s="74"/>
      <c r="J39" s="74"/>
      <c r="K39" s="74"/>
      <c r="P39" s="72"/>
    </row>
    <row r="40" spans="1:16">
      <c r="A40" s="75" t="s">
        <v>303</v>
      </c>
      <c r="B40" s="75"/>
      <c r="C40" s="75"/>
      <c r="D40" s="75"/>
      <c r="E40" s="74"/>
      <c r="F40" s="74"/>
      <c r="G40" s="74"/>
      <c r="H40" s="74"/>
      <c r="I40" s="74"/>
      <c r="J40" s="74"/>
      <c r="K40" s="74"/>
    </row>
    <row r="41" spans="1:16">
      <c r="A41" s="73" t="s">
        <v>304</v>
      </c>
      <c r="B41" s="73" t="s">
        <v>434</v>
      </c>
      <c r="C41" s="73">
        <f>SUM(J8:J16)</f>
        <v>0</v>
      </c>
      <c r="D41" s="194">
        <v>100</v>
      </c>
      <c r="E41" s="74">
        <f t="shared" ref="E41:K41" si="19">$C$41*$D$41*E22</f>
        <v>0</v>
      </c>
      <c r="F41" s="74">
        <f t="shared" si="19"/>
        <v>0</v>
      </c>
      <c r="G41" s="74">
        <f t="shared" si="19"/>
        <v>0</v>
      </c>
      <c r="H41" s="74">
        <f t="shared" si="19"/>
        <v>0</v>
      </c>
      <c r="I41" s="74">
        <f t="shared" si="19"/>
        <v>0</v>
      </c>
      <c r="J41" s="74">
        <f t="shared" si="19"/>
        <v>0</v>
      </c>
      <c r="K41" s="74">
        <f t="shared" si="19"/>
        <v>0</v>
      </c>
    </row>
    <row r="42" spans="1:16">
      <c r="A42" s="73" t="s">
        <v>305</v>
      </c>
      <c r="B42" s="73" t="s">
        <v>436</v>
      </c>
      <c r="C42" s="73">
        <f>SUM(M8:M16)</f>
        <v>0</v>
      </c>
      <c r="D42" s="194">
        <v>300</v>
      </c>
      <c r="E42" s="74">
        <f t="shared" ref="E42:K42" si="20">$C$42*$D$42*E22</f>
        <v>0</v>
      </c>
      <c r="F42" s="74">
        <f t="shared" si="20"/>
        <v>0</v>
      </c>
      <c r="G42" s="74">
        <f t="shared" si="20"/>
        <v>0</v>
      </c>
      <c r="H42" s="74">
        <f t="shared" si="20"/>
        <v>0</v>
      </c>
      <c r="I42" s="74">
        <f t="shared" si="20"/>
        <v>0</v>
      </c>
      <c r="J42" s="74">
        <f t="shared" si="20"/>
        <v>0</v>
      </c>
      <c r="K42" s="74">
        <f t="shared" si="20"/>
        <v>0</v>
      </c>
    </row>
    <row r="43" spans="1:16">
      <c r="A43" s="73"/>
      <c r="B43" s="73"/>
      <c r="C43" s="194"/>
      <c r="D43" s="194"/>
      <c r="E43" s="74"/>
      <c r="F43" s="74"/>
      <c r="G43" s="74"/>
      <c r="H43" s="74"/>
      <c r="I43" s="74"/>
      <c r="J43" s="74"/>
      <c r="K43" s="74"/>
    </row>
    <row r="44" spans="1:16">
      <c r="A44" s="73"/>
      <c r="B44" s="73"/>
      <c r="C44" s="194"/>
      <c r="D44" s="194"/>
      <c r="E44" s="74"/>
      <c r="F44" s="74"/>
      <c r="G44" s="74"/>
      <c r="H44" s="74"/>
      <c r="I44" s="74"/>
      <c r="J44" s="74"/>
      <c r="K44" s="74"/>
    </row>
    <row r="45" spans="1:16">
      <c r="A45" s="73"/>
      <c r="B45" s="73"/>
      <c r="C45" s="194"/>
      <c r="D45" s="194"/>
      <c r="E45" s="74"/>
      <c r="F45" s="74"/>
      <c r="G45" s="74"/>
      <c r="H45" s="74"/>
      <c r="I45" s="74"/>
      <c r="J45" s="74"/>
      <c r="K45" s="74"/>
    </row>
    <row r="46" spans="1:16">
      <c r="A46" s="73"/>
      <c r="B46" s="73"/>
      <c r="C46" s="194"/>
      <c r="D46" s="194"/>
      <c r="E46" s="74"/>
      <c r="F46" s="74"/>
      <c r="G46" s="74"/>
      <c r="H46" s="74"/>
      <c r="I46" s="74"/>
      <c r="J46" s="74"/>
      <c r="K46" s="74"/>
    </row>
    <row r="47" spans="1:16">
      <c r="A47" s="75" t="s">
        <v>314</v>
      </c>
      <c r="B47" s="75"/>
      <c r="C47" s="197"/>
      <c r="D47" s="197"/>
      <c r="E47" s="91">
        <f>SUM(E41:E46)</f>
        <v>0</v>
      </c>
      <c r="F47" s="91">
        <f t="shared" ref="F47:K47" si="21">SUM(F41:F46)</f>
        <v>0</v>
      </c>
      <c r="G47" s="91">
        <f t="shared" si="21"/>
        <v>0</v>
      </c>
      <c r="H47" s="91">
        <f t="shared" si="21"/>
        <v>0</v>
      </c>
      <c r="I47" s="91">
        <f t="shared" si="21"/>
        <v>0</v>
      </c>
      <c r="J47" s="91">
        <f t="shared" si="21"/>
        <v>0</v>
      </c>
      <c r="K47" s="91">
        <f t="shared" si="21"/>
        <v>0</v>
      </c>
    </row>
    <row r="48" spans="1:16">
      <c r="A48" s="75"/>
      <c r="B48" s="75"/>
      <c r="C48" s="197"/>
      <c r="D48" s="197"/>
      <c r="E48" s="91"/>
      <c r="F48" s="91"/>
      <c r="G48" s="91"/>
      <c r="H48" s="91"/>
      <c r="I48" s="91"/>
      <c r="J48" s="91"/>
      <c r="K48" s="91"/>
    </row>
    <row r="49" spans="1:12">
      <c r="A49" s="166" t="s">
        <v>306</v>
      </c>
      <c r="B49" s="166"/>
      <c r="C49" s="216"/>
      <c r="D49" s="216"/>
      <c r="E49" s="74"/>
      <c r="F49" s="74"/>
      <c r="G49" s="74"/>
      <c r="H49" s="74"/>
      <c r="I49" s="74"/>
      <c r="J49" s="74"/>
      <c r="K49" s="74"/>
    </row>
    <row r="50" spans="1:12">
      <c r="A50" s="85" t="s">
        <v>723</v>
      </c>
      <c r="B50" s="73" t="s">
        <v>380</v>
      </c>
      <c r="C50" s="216"/>
      <c r="D50" s="217"/>
      <c r="E50" s="74">
        <f t="shared" ref="E50:K50" si="22">$C50*$D50*12*E$22</f>
        <v>0</v>
      </c>
      <c r="F50" s="74">
        <f t="shared" si="22"/>
        <v>0</v>
      </c>
      <c r="G50" s="74">
        <f t="shared" si="22"/>
        <v>0</v>
      </c>
      <c r="H50" s="74">
        <f t="shared" si="22"/>
        <v>0</v>
      </c>
      <c r="I50" s="74">
        <f t="shared" si="22"/>
        <v>0</v>
      </c>
      <c r="J50" s="74">
        <f t="shared" si="22"/>
        <v>0</v>
      </c>
      <c r="K50" s="74">
        <f t="shared" si="22"/>
        <v>0</v>
      </c>
    </row>
    <row r="51" spans="1:12">
      <c r="A51" s="85"/>
      <c r="B51" s="85"/>
      <c r="C51" s="216"/>
      <c r="D51" s="217"/>
      <c r="E51" s="74"/>
      <c r="F51" s="74"/>
      <c r="G51" s="74"/>
      <c r="H51" s="74"/>
      <c r="I51" s="74"/>
      <c r="J51" s="74"/>
      <c r="K51" s="74"/>
    </row>
    <row r="52" spans="1:12">
      <c r="A52" s="75" t="s">
        <v>318</v>
      </c>
      <c r="B52" s="75"/>
      <c r="C52" s="75"/>
      <c r="D52" s="75"/>
      <c r="E52" s="91">
        <f t="shared" ref="E52:K52" si="23">SUM(E50:E51)</f>
        <v>0</v>
      </c>
      <c r="F52" s="91">
        <f t="shared" si="23"/>
        <v>0</v>
      </c>
      <c r="G52" s="91">
        <f t="shared" si="23"/>
        <v>0</v>
      </c>
      <c r="H52" s="91">
        <f t="shared" si="23"/>
        <v>0</v>
      </c>
      <c r="I52" s="91">
        <f t="shared" si="23"/>
        <v>0</v>
      </c>
      <c r="J52" s="91">
        <f t="shared" si="23"/>
        <v>0</v>
      </c>
      <c r="K52" s="91">
        <f t="shared" si="23"/>
        <v>0</v>
      </c>
    </row>
    <row r="53" spans="1:12">
      <c r="A53" s="75" t="s">
        <v>130</v>
      </c>
      <c r="B53" s="75"/>
      <c r="C53" s="75"/>
      <c r="D53" s="75"/>
      <c r="E53" s="91">
        <f t="shared" ref="E53:K53" si="24">E47+E52</f>
        <v>0</v>
      </c>
      <c r="F53" s="91">
        <f t="shared" si="24"/>
        <v>0</v>
      </c>
      <c r="G53" s="91">
        <f t="shared" si="24"/>
        <v>0</v>
      </c>
      <c r="H53" s="91">
        <f t="shared" si="24"/>
        <v>0</v>
      </c>
      <c r="I53" s="91">
        <f t="shared" si="24"/>
        <v>0</v>
      </c>
      <c r="J53" s="91">
        <f t="shared" si="24"/>
        <v>0</v>
      </c>
      <c r="K53" s="91">
        <f t="shared" si="24"/>
        <v>0</v>
      </c>
    </row>
    <row r="54" spans="1:12">
      <c r="A54" s="73"/>
      <c r="B54" s="73"/>
      <c r="C54" s="73"/>
      <c r="D54" s="73"/>
      <c r="E54" s="74"/>
      <c r="F54" s="74"/>
      <c r="G54" s="74"/>
      <c r="H54" s="74"/>
      <c r="I54" s="74"/>
      <c r="J54" s="74"/>
      <c r="K54" s="74"/>
    </row>
    <row r="55" spans="1:12">
      <c r="A55" s="75" t="s">
        <v>309</v>
      </c>
      <c r="B55" s="75"/>
      <c r="C55" s="75"/>
      <c r="D55" s="75"/>
      <c r="E55" s="91">
        <f t="shared" ref="E55:K55" si="25">E37-E53</f>
        <v>0</v>
      </c>
      <c r="F55" s="91">
        <f t="shared" si="25"/>
        <v>0</v>
      </c>
      <c r="G55" s="91">
        <f t="shared" si="25"/>
        <v>0</v>
      </c>
      <c r="H55" s="91">
        <f t="shared" si="25"/>
        <v>0</v>
      </c>
      <c r="I55" s="91">
        <f t="shared" si="25"/>
        <v>0</v>
      </c>
      <c r="J55" s="91">
        <f t="shared" si="25"/>
        <v>0</v>
      </c>
      <c r="K55" s="91">
        <f t="shared" si="25"/>
        <v>0</v>
      </c>
    </row>
    <row r="56" spans="1:12">
      <c r="A56" s="92"/>
      <c r="B56" s="92"/>
      <c r="C56" s="92"/>
      <c r="D56" s="92"/>
      <c r="E56" s="228"/>
      <c r="F56" s="228"/>
      <c r="G56" s="228"/>
      <c r="H56" s="228"/>
      <c r="I56" s="228"/>
      <c r="J56" s="228"/>
      <c r="K56" s="228"/>
    </row>
    <row r="57" spans="1:12">
      <c r="A57" s="72"/>
      <c r="B57" s="72"/>
      <c r="C57" s="92"/>
      <c r="D57" s="92"/>
      <c r="E57" s="228"/>
      <c r="F57" s="228"/>
      <c r="G57" s="228"/>
      <c r="H57" s="228"/>
      <c r="I57" s="228"/>
      <c r="J57" s="228"/>
      <c r="K57" s="228"/>
    </row>
    <row r="58" spans="1:12">
      <c r="A58" s="410" t="s">
        <v>411</v>
      </c>
      <c r="B58" s="410"/>
      <c r="C58" s="410"/>
      <c r="D58" s="410"/>
      <c r="E58" s="410"/>
      <c r="F58" s="410"/>
      <c r="G58" s="410"/>
      <c r="H58" s="410"/>
      <c r="I58" s="410"/>
      <c r="J58" s="410"/>
      <c r="K58" s="410"/>
      <c r="L58" s="410"/>
    </row>
    <row r="61" spans="1:12">
      <c r="A61" t="s">
        <v>530</v>
      </c>
    </row>
    <row r="62" spans="1:12">
      <c r="A62">
        <v>1</v>
      </c>
      <c r="B62" t="s">
        <v>543</v>
      </c>
    </row>
    <row r="63" spans="1:12">
      <c r="A63">
        <v>2</v>
      </c>
      <c r="B63" t="s">
        <v>544</v>
      </c>
    </row>
    <row r="64" spans="1:12">
      <c r="A64">
        <v>3</v>
      </c>
      <c r="B64" s="72" t="s">
        <v>595</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54" zoomScale="80" zoomScaleSheetLayoutView="80" workbookViewId="0">
      <selection activeCell="C267" sqref="C267"/>
    </sheetView>
  </sheetViews>
  <sheetFormatPr defaultRowHeight="14.5"/>
  <cols>
    <col min="1" max="1" width="41.1796875" bestFit="1" customWidth="1"/>
    <col min="2" max="2" width="9.1796875"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411" t="s">
        <v>588</v>
      </c>
      <c r="B2" s="411"/>
      <c r="C2" s="411"/>
      <c r="D2" s="411"/>
      <c r="E2" s="411"/>
      <c r="F2" s="411"/>
      <c r="G2" s="411"/>
      <c r="H2" s="411"/>
      <c r="I2" s="411"/>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169</v>
      </c>
      <c r="I6" s="96" t="s">
        <v>168</v>
      </c>
    </row>
    <row r="7" spans="1:9">
      <c r="A7" s="75" t="s">
        <v>546</v>
      </c>
      <c r="B7" s="73"/>
      <c r="C7" s="73"/>
      <c r="D7" s="73"/>
      <c r="E7" s="73"/>
      <c r="F7" s="73"/>
      <c r="G7" s="73"/>
      <c r="H7" s="73"/>
      <c r="I7" s="73"/>
    </row>
    <row r="8" spans="1:9">
      <c r="A8" s="75" t="s">
        <v>178</v>
      </c>
      <c r="B8" s="169"/>
      <c r="C8" s="215"/>
      <c r="D8" s="215"/>
      <c r="E8" s="215"/>
      <c r="F8" s="215"/>
      <c r="G8" s="215"/>
      <c r="H8" s="215"/>
      <c r="I8" s="215"/>
    </row>
    <row r="9" spans="1:9">
      <c r="A9" s="73" t="str">
        <f>'10.Grain Production details'!A92</f>
        <v>Soybean</v>
      </c>
      <c r="B9" s="169"/>
      <c r="C9" s="215">
        <f>'10.Grain Production details'!B92</f>
        <v>0</v>
      </c>
      <c r="D9" s="215">
        <f>'10.Grain Production details'!C92</f>
        <v>0</v>
      </c>
      <c r="E9" s="215">
        <f>'10.Grain Production details'!D92</f>
        <v>0</v>
      </c>
      <c r="F9" s="215">
        <f>'10.Grain Production details'!E92</f>
        <v>0</v>
      </c>
      <c r="G9" s="215">
        <f>'10.Grain Production details'!F92</f>
        <v>0</v>
      </c>
      <c r="H9" s="215">
        <f>'10.Grain Production details'!G92</f>
        <v>0</v>
      </c>
      <c r="I9" s="215">
        <f>'10.Grain Production details'!H92</f>
        <v>0</v>
      </c>
    </row>
    <row r="10" spans="1:9">
      <c r="A10" s="73" t="str">
        <f>'10.Grain Production details'!A93</f>
        <v>Red Gram/Tur</v>
      </c>
      <c r="B10" s="169"/>
      <c r="C10" s="215">
        <f>'10.Grain Production details'!B93</f>
        <v>0</v>
      </c>
      <c r="D10" s="215">
        <f>'10.Grain Production details'!C93</f>
        <v>0</v>
      </c>
      <c r="E10" s="215">
        <f>'10.Grain Production details'!D93</f>
        <v>0</v>
      </c>
      <c r="F10" s="215">
        <f>'10.Grain Production details'!E93</f>
        <v>0</v>
      </c>
      <c r="G10" s="215">
        <f>'10.Grain Production details'!F93</f>
        <v>0</v>
      </c>
      <c r="H10" s="215">
        <f>'10.Grain Production details'!G93</f>
        <v>0</v>
      </c>
      <c r="I10" s="215">
        <f>'10.Grain Production details'!H93</f>
        <v>0</v>
      </c>
    </row>
    <row r="11" spans="1:9">
      <c r="A11" s="73" t="str">
        <f>'10.Grain Production details'!A94</f>
        <v>Paddy/Rice</v>
      </c>
      <c r="B11" s="169"/>
      <c r="C11" s="215">
        <f>'10.Grain Production details'!B94</f>
        <v>0</v>
      </c>
      <c r="D11" s="215">
        <f>'10.Grain Production details'!C94</f>
        <v>0</v>
      </c>
      <c r="E11" s="215">
        <f>'10.Grain Production details'!D94</f>
        <v>0</v>
      </c>
      <c r="F11" s="215">
        <f>'10.Grain Production details'!E94</f>
        <v>0</v>
      </c>
      <c r="G11" s="215">
        <f>'10.Grain Production details'!F94</f>
        <v>0</v>
      </c>
      <c r="H11" s="215">
        <f>'10.Grain Production details'!G94</f>
        <v>0</v>
      </c>
      <c r="I11" s="215">
        <f>'10.Grain Production details'!H94</f>
        <v>0</v>
      </c>
    </row>
    <row r="12" spans="1:9">
      <c r="A12" s="73" t="str">
        <f>'10.Grain Production details'!A95</f>
        <v>Green Gram/ Moong</v>
      </c>
      <c r="B12" s="169"/>
      <c r="C12" s="215">
        <f>'10.Grain Production details'!B95</f>
        <v>0</v>
      </c>
      <c r="D12" s="215">
        <f>'10.Grain Production details'!C95</f>
        <v>0</v>
      </c>
      <c r="E12" s="215">
        <f>'10.Grain Production details'!D95</f>
        <v>0</v>
      </c>
      <c r="F12" s="215">
        <f>'10.Grain Production details'!E95</f>
        <v>0</v>
      </c>
      <c r="G12" s="215">
        <f>'10.Grain Production details'!F95</f>
        <v>0</v>
      </c>
      <c r="H12" s="215">
        <f>'10.Grain Production details'!G95</f>
        <v>0</v>
      </c>
      <c r="I12" s="215">
        <f>'10.Grain Production details'!H95</f>
        <v>0</v>
      </c>
    </row>
    <row r="13" spans="1:9">
      <c r="A13" s="73" t="str">
        <f>'10.Grain Production details'!A96</f>
        <v>Maize</v>
      </c>
      <c r="B13" s="169"/>
      <c r="C13" s="215">
        <f>'10.Grain Production details'!B96</f>
        <v>0</v>
      </c>
      <c r="D13" s="215">
        <f>'10.Grain Production details'!C96</f>
        <v>0</v>
      </c>
      <c r="E13" s="215">
        <f>'10.Grain Production details'!D96</f>
        <v>0</v>
      </c>
      <c r="F13" s="215">
        <f>'10.Grain Production details'!E96</f>
        <v>0</v>
      </c>
      <c r="G13" s="215">
        <f>'10.Grain Production details'!F96</f>
        <v>0</v>
      </c>
      <c r="H13" s="215">
        <f>'10.Grain Production details'!G96</f>
        <v>0</v>
      </c>
      <c r="I13" s="215">
        <f>'10.Grain Production details'!H96</f>
        <v>0</v>
      </c>
    </row>
    <row r="14" spans="1:9">
      <c r="A14" s="73" t="str">
        <f>'10.Grain Production details'!A97</f>
        <v>Black Gram/Udid</v>
      </c>
      <c r="B14" s="169"/>
      <c r="C14" s="215">
        <f>'10.Grain Production details'!B97</f>
        <v>0</v>
      </c>
      <c r="D14" s="215">
        <f>'10.Grain Production details'!C97</f>
        <v>0</v>
      </c>
      <c r="E14" s="215">
        <f>'10.Grain Production details'!D97</f>
        <v>0</v>
      </c>
      <c r="F14" s="215">
        <f>'10.Grain Production details'!E97</f>
        <v>0</v>
      </c>
      <c r="G14" s="215">
        <f>'10.Grain Production details'!F97</f>
        <v>0</v>
      </c>
      <c r="H14" s="215">
        <f>'10.Grain Production details'!G97</f>
        <v>0</v>
      </c>
      <c r="I14" s="215">
        <f>'10.Grain Production details'!H97</f>
        <v>0</v>
      </c>
    </row>
    <row r="15" spans="1:9">
      <c r="A15" s="73" t="str">
        <f>'10.Grain Production details'!A98</f>
        <v>Bajra</v>
      </c>
      <c r="B15" s="169"/>
      <c r="C15" s="215">
        <f>'10.Grain Production details'!B98</f>
        <v>0</v>
      </c>
      <c r="D15" s="215">
        <f>'10.Grain Production details'!C98</f>
        <v>0</v>
      </c>
      <c r="E15" s="215">
        <f>'10.Grain Production details'!D98</f>
        <v>0</v>
      </c>
      <c r="F15" s="215">
        <f>'10.Grain Production details'!E98</f>
        <v>0</v>
      </c>
      <c r="G15" s="215">
        <f>'10.Grain Production details'!F98</f>
        <v>0</v>
      </c>
      <c r="H15" s="215">
        <f>'10.Grain Production details'!G98</f>
        <v>0</v>
      </c>
      <c r="I15" s="215">
        <f>'10.Grain Production details'!H98</f>
        <v>0</v>
      </c>
    </row>
    <row r="16" spans="1:9">
      <c r="A16" s="73" t="str">
        <f>'10.Grain Production details'!A99</f>
        <v>Jawar</v>
      </c>
      <c r="B16" s="169"/>
      <c r="C16" s="215">
        <f>'10.Grain Production details'!B99</f>
        <v>0</v>
      </c>
      <c r="D16" s="215">
        <f>'10.Grain Production details'!C99</f>
        <v>0</v>
      </c>
      <c r="E16" s="215">
        <f>'10.Grain Production details'!D99</f>
        <v>0</v>
      </c>
      <c r="F16" s="215">
        <f>'10.Grain Production details'!E99</f>
        <v>0</v>
      </c>
      <c r="G16" s="215">
        <f>'10.Grain Production details'!F99</f>
        <v>0</v>
      </c>
      <c r="H16" s="215">
        <f>'10.Grain Production details'!G99</f>
        <v>0</v>
      </c>
      <c r="I16" s="215">
        <f>'10.Grain Production details'!H99</f>
        <v>0</v>
      </c>
    </row>
    <row r="17" spans="1:9">
      <c r="A17" s="75" t="s">
        <v>182</v>
      </c>
      <c r="B17" s="169"/>
      <c r="C17" s="215"/>
      <c r="D17" s="215"/>
      <c r="E17" s="215"/>
      <c r="F17" s="215"/>
      <c r="G17" s="215"/>
      <c r="H17" s="215"/>
      <c r="I17" s="215"/>
    </row>
    <row r="18" spans="1:9">
      <c r="A18" s="73" t="str">
        <f>'10.Grain Production details'!A101</f>
        <v>Wheat</v>
      </c>
      <c r="B18" s="169"/>
      <c r="C18" s="215">
        <f>'10.Grain Production details'!B101</f>
        <v>0</v>
      </c>
      <c r="D18" s="215">
        <f>'10.Grain Production details'!C101</f>
        <v>0</v>
      </c>
      <c r="E18" s="215">
        <f>'10.Grain Production details'!D101</f>
        <v>0</v>
      </c>
      <c r="F18" s="215">
        <f>'10.Grain Production details'!E101</f>
        <v>0</v>
      </c>
      <c r="G18" s="215">
        <f>'10.Grain Production details'!F101</f>
        <v>0</v>
      </c>
      <c r="H18" s="215">
        <f>'10.Grain Production details'!G101</f>
        <v>0</v>
      </c>
      <c r="I18" s="215">
        <f>'10.Grain Production details'!H101</f>
        <v>0</v>
      </c>
    </row>
    <row r="19" spans="1:9">
      <c r="A19" s="73" t="str">
        <f>'10.Grain Production details'!A102</f>
        <v>Bengal Gram/Channa</v>
      </c>
      <c r="B19" s="169"/>
      <c r="C19" s="215">
        <f>'10.Grain Production details'!B102</f>
        <v>0</v>
      </c>
      <c r="D19" s="215">
        <f>'10.Grain Production details'!C102</f>
        <v>0</v>
      </c>
      <c r="E19" s="215">
        <f>'10.Grain Production details'!D102</f>
        <v>0</v>
      </c>
      <c r="F19" s="215">
        <f>'10.Grain Production details'!E102</f>
        <v>0</v>
      </c>
      <c r="G19" s="215">
        <f>'10.Grain Production details'!F102</f>
        <v>0</v>
      </c>
      <c r="H19" s="215">
        <f>'10.Grain Production details'!G102</f>
        <v>0</v>
      </c>
      <c r="I19" s="215">
        <f>'10.Grain Production details'!H102</f>
        <v>0</v>
      </c>
    </row>
    <row r="20" spans="1:9">
      <c r="A20" s="73" t="str">
        <f>'10.Grain Production details'!A103</f>
        <v>Jawar</v>
      </c>
      <c r="B20" s="169"/>
      <c r="C20" s="215">
        <f>'10.Grain Production details'!B103</f>
        <v>0</v>
      </c>
      <c r="D20" s="215">
        <f>'10.Grain Production details'!C103</f>
        <v>0</v>
      </c>
      <c r="E20" s="215">
        <f>'10.Grain Production details'!D103</f>
        <v>0</v>
      </c>
      <c r="F20" s="215">
        <f>'10.Grain Production details'!E103</f>
        <v>0</v>
      </c>
      <c r="G20" s="215">
        <f>'10.Grain Production details'!F103</f>
        <v>0</v>
      </c>
      <c r="H20" s="215">
        <f>'10.Grain Production details'!G103</f>
        <v>0</v>
      </c>
      <c r="I20" s="215">
        <f>'10.Grain Production details'!H103</f>
        <v>0</v>
      </c>
    </row>
    <row r="21" spans="1:9">
      <c r="A21" s="73" t="str">
        <f>'10.Grain Production details'!A104</f>
        <v>Maize</v>
      </c>
      <c r="B21" s="169"/>
      <c r="C21" s="215">
        <f>'10.Grain Production details'!B104</f>
        <v>0</v>
      </c>
      <c r="D21" s="215">
        <f>'10.Grain Production details'!C104</f>
        <v>0</v>
      </c>
      <c r="E21" s="215">
        <f>'10.Grain Production details'!D104</f>
        <v>0</v>
      </c>
      <c r="F21" s="215">
        <f>'10.Grain Production details'!E104</f>
        <v>0</v>
      </c>
      <c r="G21" s="215">
        <f>'10.Grain Production details'!F104</f>
        <v>0</v>
      </c>
      <c r="H21" s="215">
        <f>'10.Grain Production details'!G104</f>
        <v>0</v>
      </c>
      <c r="I21" s="215">
        <f>'10.Grain Production details'!H104</f>
        <v>0</v>
      </c>
    </row>
    <row r="22" spans="1:9">
      <c r="A22" s="73" t="str">
        <f>'10.Grain Production details'!A105</f>
        <v>Safflower</v>
      </c>
      <c r="B22" s="169"/>
      <c r="C22" s="215">
        <f>'10.Grain Production details'!B105</f>
        <v>0</v>
      </c>
      <c r="D22" s="215">
        <f>'10.Grain Production details'!C105</f>
        <v>0</v>
      </c>
      <c r="E22" s="215">
        <f>'10.Grain Production details'!D105</f>
        <v>0</v>
      </c>
      <c r="F22" s="215">
        <f>'10.Grain Production details'!E105</f>
        <v>0</v>
      </c>
      <c r="G22" s="215">
        <f>'10.Grain Production details'!F105</f>
        <v>0</v>
      </c>
      <c r="H22" s="215">
        <f>'10.Grain Production details'!G105</f>
        <v>0</v>
      </c>
      <c r="I22" s="215">
        <f>'10.Grain Production details'!H105</f>
        <v>0</v>
      </c>
    </row>
    <row r="23" spans="1:9">
      <c r="A23" s="73">
        <f>'10.Grain Production details'!A106</f>
        <v>0</v>
      </c>
      <c r="B23" s="169"/>
      <c r="C23" s="215">
        <f>'10.Grain Production details'!B106</f>
        <v>0</v>
      </c>
      <c r="D23" s="215">
        <f>'10.Grain Production details'!C106</f>
        <v>0</v>
      </c>
      <c r="E23" s="215">
        <f>'10.Grain Production details'!D106</f>
        <v>0</v>
      </c>
      <c r="F23" s="215">
        <f>'10.Grain Production details'!E106</f>
        <v>0</v>
      </c>
      <c r="G23" s="215">
        <f>'10.Grain Production details'!F106</f>
        <v>0</v>
      </c>
      <c r="H23" s="215">
        <f>'10.Grain Production details'!G106</f>
        <v>0</v>
      </c>
      <c r="I23" s="215">
        <f>'10.Grain Production details'!H106</f>
        <v>0</v>
      </c>
    </row>
    <row r="24" spans="1:9">
      <c r="A24" s="73">
        <f>'10.Grain Production details'!A107</f>
        <v>0</v>
      </c>
      <c r="B24" s="169"/>
      <c r="C24" s="215">
        <f>'10.Grain Production details'!B107</f>
        <v>0</v>
      </c>
      <c r="D24" s="215">
        <f>'10.Grain Production details'!C107</f>
        <v>0</v>
      </c>
      <c r="E24" s="215">
        <f>'10.Grain Production details'!D107</f>
        <v>0</v>
      </c>
      <c r="F24" s="215">
        <f>'10.Grain Production details'!E107</f>
        <v>0</v>
      </c>
      <c r="G24" s="215">
        <f>'10.Grain Production details'!F107</f>
        <v>0</v>
      </c>
      <c r="H24" s="215">
        <f>'10.Grain Production details'!G107</f>
        <v>0</v>
      </c>
      <c r="I24" s="215">
        <f>'10.Grain Production details'!H107</f>
        <v>0</v>
      </c>
    </row>
    <row r="25" spans="1:9">
      <c r="A25" s="73">
        <f>'10.Grain Production details'!A108</f>
        <v>0</v>
      </c>
      <c r="B25" s="169"/>
      <c r="C25" s="215">
        <f>'10.Grain Production details'!B108</f>
        <v>0</v>
      </c>
      <c r="D25" s="215">
        <f>'10.Grain Production details'!C108</f>
        <v>0</v>
      </c>
      <c r="E25" s="215">
        <f>'10.Grain Production details'!D108</f>
        <v>0</v>
      </c>
      <c r="F25" s="215">
        <f>'10.Grain Production details'!E108</f>
        <v>0</v>
      </c>
      <c r="G25" s="215">
        <f>'10.Grain Production details'!F108</f>
        <v>0</v>
      </c>
      <c r="H25" s="215">
        <f>'10.Grain Production details'!G108</f>
        <v>0</v>
      </c>
      <c r="I25" s="215">
        <f>'10.Grain Production details'!H108</f>
        <v>0</v>
      </c>
    </row>
    <row r="26" spans="1:9">
      <c r="A26" s="75" t="str">
        <f>'10.Grain Production details'!A33</f>
        <v>Summer</v>
      </c>
      <c r="B26" s="169"/>
      <c r="C26" s="215"/>
      <c r="D26" s="215"/>
      <c r="E26" s="215"/>
      <c r="F26" s="215"/>
      <c r="G26" s="215"/>
      <c r="H26" s="215"/>
      <c r="I26" s="215"/>
    </row>
    <row r="27" spans="1:9">
      <c r="A27" s="73" t="str">
        <f>'10.Grain Production details'!A109</f>
        <v>Groundnut</v>
      </c>
      <c r="B27" s="169"/>
      <c r="C27" s="215">
        <f>'10.Grain Production details'!B110</f>
        <v>0</v>
      </c>
      <c r="D27" s="215">
        <f>'10.Grain Production details'!C110</f>
        <v>0</v>
      </c>
      <c r="E27" s="215">
        <f>'10.Grain Production details'!D110</f>
        <v>0</v>
      </c>
      <c r="F27" s="215">
        <f>'10.Grain Production details'!E110</f>
        <v>0</v>
      </c>
      <c r="G27" s="215">
        <f>'10.Grain Production details'!F110</f>
        <v>0</v>
      </c>
      <c r="H27" s="215">
        <f>'10.Grain Production details'!G110</f>
        <v>0</v>
      </c>
      <c r="I27" s="215">
        <f>'10.Grain Production details'!H110</f>
        <v>0</v>
      </c>
    </row>
    <row r="28" spans="1:9">
      <c r="A28" s="73">
        <f>'10.Grain Production details'!A110</f>
        <v>0</v>
      </c>
      <c r="B28" s="169"/>
      <c r="C28" s="215">
        <f>'10.Grain Production details'!B111</f>
        <v>0</v>
      </c>
      <c r="D28" s="215">
        <f>'10.Grain Production details'!C111</f>
        <v>0</v>
      </c>
      <c r="E28" s="215">
        <f>'10.Grain Production details'!D111</f>
        <v>0</v>
      </c>
      <c r="F28" s="215">
        <f>'10.Grain Production details'!E111</f>
        <v>0</v>
      </c>
      <c r="G28" s="215">
        <f>'10.Grain Production details'!F111</f>
        <v>0</v>
      </c>
      <c r="H28" s="215">
        <f>'10.Grain Production details'!G111</f>
        <v>0</v>
      </c>
      <c r="I28" s="215">
        <f>'10.Grain Production details'!H111</f>
        <v>0</v>
      </c>
    </row>
    <row r="29" spans="1:9">
      <c r="A29" s="73">
        <f>'10.Grain Production details'!A111</f>
        <v>0</v>
      </c>
      <c r="B29" s="169"/>
      <c r="C29" s="215">
        <f>'10.Grain Production details'!B112</f>
        <v>0</v>
      </c>
      <c r="D29" s="215">
        <f>'10.Grain Production details'!C112</f>
        <v>0</v>
      </c>
      <c r="E29" s="215">
        <f>'10.Grain Production details'!D112</f>
        <v>0</v>
      </c>
      <c r="F29" s="215">
        <f>'10.Grain Production details'!E112</f>
        <v>0</v>
      </c>
      <c r="G29" s="215">
        <f>'10.Grain Production details'!F112</f>
        <v>0</v>
      </c>
      <c r="H29" s="215">
        <f>'10.Grain Production details'!G112</f>
        <v>0</v>
      </c>
      <c r="I29" s="215">
        <f>'10.Grain Production details'!H112</f>
        <v>0</v>
      </c>
    </row>
    <row r="30" spans="1:9">
      <c r="A30" s="73">
        <f>'10.Grain Production details'!A112</f>
        <v>0</v>
      </c>
      <c r="B30" s="169"/>
      <c r="C30" s="215">
        <f>'10.Grain Production details'!B113</f>
        <v>0</v>
      </c>
      <c r="D30" s="215">
        <f>'10.Grain Production details'!C113</f>
        <v>0</v>
      </c>
      <c r="E30" s="215">
        <f>'10.Grain Production details'!D113</f>
        <v>0</v>
      </c>
      <c r="F30" s="215">
        <f>'10.Grain Production details'!E113</f>
        <v>0</v>
      </c>
      <c r="G30" s="215">
        <f>'10.Grain Production details'!F113</f>
        <v>0</v>
      </c>
      <c r="H30" s="215">
        <f>'10.Grain Production details'!G113</f>
        <v>0</v>
      </c>
      <c r="I30" s="215">
        <f>'10.Grain Production details'!H113</f>
        <v>0</v>
      </c>
    </row>
    <row r="31" spans="1:9">
      <c r="A31" s="73">
        <f>'10.Grain Production details'!A113</f>
        <v>0</v>
      </c>
      <c r="B31" s="169"/>
      <c r="C31" s="215">
        <f>'10.Grain Production details'!C114</f>
        <v>0</v>
      </c>
      <c r="D31" s="215">
        <f>'10.Grain Production details'!D114</f>
        <v>0</v>
      </c>
      <c r="E31" s="215">
        <f>'10.Grain Production details'!E114</f>
        <v>0</v>
      </c>
      <c r="F31" s="215">
        <f>'10.Grain Production details'!F114</f>
        <v>0</v>
      </c>
      <c r="G31" s="215">
        <f>'10.Grain Production details'!G114</f>
        <v>0</v>
      </c>
      <c r="H31" s="215">
        <f>'10.Grain Production details'!H114</f>
        <v>0</v>
      </c>
      <c r="I31" s="215">
        <f>'10.Grain Production details'!I114</f>
        <v>0</v>
      </c>
    </row>
    <row r="32" spans="1:9">
      <c r="A32" s="75" t="str">
        <f>'11.F&amp;V Crop Production details'!A1:H1</f>
        <v>Fruit  &amp; Vegetables Crop Production Details</v>
      </c>
      <c r="B32" s="169"/>
      <c r="C32" s="215"/>
      <c r="D32" s="215"/>
      <c r="E32" s="215"/>
      <c r="F32" s="215"/>
      <c r="G32" s="215"/>
      <c r="H32" s="215"/>
      <c r="I32" s="215"/>
    </row>
    <row r="33" spans="1:9">
      <c r="A33" s="73" t="str">
        <f>'11.F&amp;V Crop Production details'!A102</f>
        <v>Onion</v>
      </c>
      <c r="B33" s="169"/>
      <c r="C33" s="215">
        <f>'11.F&amp;V Crop Production details'!B102</f>
        <v>0</v>
      </c>
      <c r="D33" s="215">
        <f>'11.F&amp;V Crop Production details'!C102</f>
        <v>0</v>
      </c>
      <c r="E33" s="215">
        <f>'11.F&amp;V Crop Production details'!D102</f>
        <v>0</v>
      </c>
      <c r="F33" s="215">
        <f>'11.F&amp;V Crop Production details'!E102</f>
        <v>0</v>
      </c>
      <c r="G33" s="215">
        <f>'11.F&amp;V Crop Production details'!F102</f>
        <v>0</v>
      </c>
      <c r="H33" s="215">
        <f>'11.F&amp;V Crop Production details'!G102</f>
        <v>0</v>
      </c>
      <c r="I33" s="215">
        <f>'11.F&amp;V Crop Production details'!H102</f>
        <v>0</v>
      </c>
    </row>
    <row r="34" spans="1:9">
      <c r="A34" s="73" t="str">
        <f>'11.F&amp;V Crop Production details'!A103</f>
        <v>Tomato</v>
      </c>
      <c r="B34" s="169"/>
      <c r="C34" s="215">
        <f>'11.F&amp;V Crop Production details'!B103</f>
        <v>0</v>
      </c>
      <c r="D34" s="215">
        <f>'11.F&amp;V Crop Production details'!C103</f>
        <v>0</v>
      </c>
      <c r="E34" s="215">
        <f>'11.F&amp;V Crop Production details'!D103</f>
        <v>0</v>
      </c>
      <c r="F34" s="215">
        <f>'11.F&amp;V Crop Production details'!E103</f>
        <v>0</v>
      </c>
      <c r="G34" s="215">
        <f>'11.F&amp;V Crop Production details'!F103</f>
        <v>0</v>
      </c>
      <c r="H34" s="215">
        <f>'11.F&amp;V Crop Production details'!G103</f>
        <v>0</v>
      </c>
      <c r="I34" s="215">
        <f>'11.F&amp;V Crop Production details'!H103</f>
        <v>0</v>
      </c>
    </row>
    <row r="35" spans="1:9">
      <c r="A35" s="73" t="str">
        <f>'11.F&amp;V Crop Production details'!A104</f>
        <v>Okra</v>
      </c>
      <c r="B35" s="169"/>
      <c r="C35" s="215">
        <f>'11.F&amp;V Crop Production details'!B104</f>
        <v>0</v>
      </c>
      <c r="D35" s="215">
        <f>'11.F&amp;V Crop Production details'!C104</f>
        <v>0</v>
      </c>
      <c r="E35" s="215">
        <f>'11.F&amp;V Crop Production details'!D104</f>
        <v>0</v>
      </c>
      <c r="F35" s="215">
        <f>'11.F&amp;V Crop Production details'!E104</f>
        <v>0</v>
      </c>
      <c r="G35" s="215">
        <f>'11.F&amp;V Crop Production details'!F104</f>
        <v>0</v>
      </c>
      <c r="H35" s="215">
        <f>'11.F&amp;V Crop Production details'!G104</f>
        <v>0</v>
      </c>
      <c r="I35" s="215">
        <f>'11.F&amp;V Crop Production details'!H104</f>
        <v>0</v>
      </c>
    </row>
    <row r="36" spans="1:9">
      <c r="A36" s="73" t="str">
        <f>'11.F&amp;V Crop Production details'!A105</f>
        <v>Chilli</v>
      </c>
      <c r="B36" s="169"/>
      <c r="C36" s="215">
        <f>'11.F&amp;V Crop Production details'!B105</f>
        <v>0</v>
      </c>
      <c r="D36" s="215">
        <f>'11.F&amp;V Crop Production details'!C105</f>
        <v>0</v>
      </c>
      <c r="E36" s="215">
        <f>'11.F&amp;V Crop Production details'!D105</f>
        <v>0</v>
      </c>
      <c r="F36" s="215">
        <f>'11.F&amp;V Crop Production details'!E105</f>
        <v>0</v>
      </c>
      <c r="G36" s="215">
        <f>'11.F&amp;V Crop Production details'!F105</f>
        <v>0</v>
      </c>
      <c r="H36" s="215">
        <f>'11.F&amp;V Crop Production details'!G105</f>
        <v>0</v>
      </c>
      <c r="I36" s="215">
        <f>'11.F&amp;V Crop Production details'!H105</f>
        <v>0</v>
      </c>
    </row>
    <row r="37" spans="1:9">
      <c r="A37" s="73" t="str">
        <f>'11.F&amp;V Crop Production details'!A106</f>
        <v>Potato</v>
      </c>
      <c r="B37" s="169"/>
      <c r="C37" s="215">
        <f>'11.F&amp;V Crop Production details'!B106</f>
        <v>0</v>
      </c>
      <c r="D37" s="215">
        <f>'11.F&amp;V Crop Production details'!C106</f>
        <v>0</v>
      </c>
      <c r="E37" s="215">
        <f>'11.F&amp;V Crop Production details'!D106</f>
        <v>0</v>
      </c>
      <c r="F37" s="215">
        <f>'11.F&amp;V Crop Production details'!E106</f>
        <v>0</v>
      </c>
      <c r="G37" s="215">
        <f>'11.F&amp;V Crop Production details'!F106</f>
        <v>0</v>
      </c>
      <c r="H37" s="215">
        <f>'11.F&amp;V Crop Production details'!G106</f>
        <v>0</v>
      </c>
      <c r="I37" s="215">
        <f>'11.F&amp;V Crop Production details'!H106</f>
        <v>0</v>
      </c>
    </row>
    <row r="38" spans="1:9">
      <c r="A38" s="73">
        <f>'11.F&amp;V Crop Production details'!A107</f>
        <v>0</v>
      </c>
      <c r="B38" s="169"/>
      <c r="C38" s="215">
        <f>'11.F&amp;V Crop Production details'!B107</f>
        <v>0</v>
      </c>
      <c r="D38" s="215">
        <f>'11.F&amp;V Crop Production details'!C107</f>
        <v>0</v>
      </c>
      <c r="E38" s="215">
        <f>'11.F&amp;V Crop Production details'!D107</f>
        <v>0</v>
      </c>
      <c r="F38" s="215">
        <f>'11.F&amp;V Crop Production details'!E107</f>
        <v>0</v>
      </c>
      <c r="G38" s="215">
        <f>'11.F&amp;V Crop Production details'!F107</f>
        <v>0</v>
      </c>
      <c r="H38" s="215">
        <f>'11.F&amp;V Crop Production details'!G107</f>
        <v>0</v>
      </c>
      <c r="I38" s="215">
        <f>'11.F&amp;V Crop Production details'!H107</f>
        <v>0</v>
      </c>
    </row>
    <row r="39" spans="1:9">
      <c r="A39" s="73">
        <f>'11.F&amp;V Crop Production details'!A108</f>
        <v>0</v>
      </c>
      <c r="B39" s="169"/>
      <c r="C39" s="215">
        <f>'11.F&amp;V Crop Production details'!B108</f>
        <v>0</v>
      </c>
      <c r="D39" s="215">
        <f>'11.F&amp;V Crop Production details'!C108</f>
        <v>0</v>
      </c>
      <c r="E39" s="215">
        <f>'11.F&amp;V Crop Production details'!D108</f>
        <v>0</v>
      </c>
      <c r="F39" s="215">
        <f>'11.F&amp;V Crop Production details'!E108</f>
        <v>0</v>
      </c>
      <c r="G39" s="215">
        <f>'11.F&amp;V Crop Production details'!F108</f>
        <v>0</v>
      </c>
      <c r="H39" s="215">
        <f>'11.F&amp;V Crop Production details'!G108</f>
        <v>0</v>
      </c>
      <c r="I39" s="215">
        <f>'11.F&amp;V Crop Production details'!H108</f>
        <v>0</v>
      </c>
    </row>
    <row r="40" spans="1:9">
      <c r="A40" s="73">
        <f>'11.F&amp;V Crop Production details'!A109</f>
        <v>0</v>
      </c>
      <c r="B40" s="169"/>
      <c r="C40" s="215">
        <f>'11.F&amp;V Crop Production details'!B109</f>
        <v>0</v>
      </c>
      <c r="D40" s="215">
        <f>'11.F&amp;V Crop Production details'!C109</f>
        <v>0</v>
      </c>
      <c r="E40" s="215">
        <f>'11.F&amp;V Crop Production details'!D109</f>
        <v>0</v>
      </c>
      <c r="F40" s="215">
        <f>'11.F&amp;V Crop Production details'!E109</f>
        <v>0</v>
      </c>
      <c r="G40" s="215">
        <f>'11.F&amp;V Crop Production details'!F109</f>
        <v>0</v>
      </c>
      <c r="H40" s="215">
        <f>'11.F&amp;V Crop Production details'!G109</f>
        <v>0</v>
      </c>
      <c r="I40" s="215">
        <f>'11.F&amp;V Crop Production details'!H109</f>
        <v>0</v>
      </c>
    </row>
    <row r="41" spans="1:9">
      <c r="A41" s="73">
        <f>'11.F&amp;V Crop Production details'!A110</f>
        <v>0</v>
      </c>
      <c r="B41" s="169"/>
      <c r="C41" s="215">
        <f>'11.F&amp;V Crop Production details'!B110</f>
        <v>0</v>
      </c>
      <c r="D41" s="215">
        <f>'11.F&amp;V Crop Production details'!C110</f>
        <v>0</v>
      </c>
      <c r="E41" s="215">
        <f>'11.F&amp;V Crop Production details'!D110</f>
        <v>0</v>
      </c>
      <c r="F41" s="215">
        <f>'11.F&amp;V Crop Production details'!E110</f>
        <v>0</v>
      </c>
      <c r="G41" s="215">
        <f>'11.F&amp;V Crop Production details'!F110</f>
        <v>0</v>
      </c>
      <c r="H41" s="215">
        <f>'11.F&amp;V Crop Production details'!G110</f>
        <v>0</v>
      </c>
      <c r="I41" s="215">
        <f>'11.F&amp;V Crop Production details'!H110</f>
        <v>0</v>
      </c>
    </row>
    <row r="42" spans="1:9">
      <c r="A42" s="73" t="str">
        <f>'11.F&amp;V Crop Production details'!A111</f>
        <v>Onion</v>
      </c>
      <c r="B42" s="169"/>
      <c r="C42" s="215">
        <f>'11.F&amp;V Crop Production details'!B111</f>
        <v>0</v>
      </c>
      <c r="D42" s="215">
        <f>'11.F&amp;V Crop Production details'!C111</f>
        <v>0</v>
      </c>
      <c r="E42" s="215">
        <f>'11.F&amp;V Crop Production details'!D111</f>
        <v>0</v>
      </c>
      <c r="F42" s="215">
        <f>'11.F&amp;V Crop Production details'!E111</f>
        <v>0</v>
      </c>
      <c r="G42" s="215">
        <f>'11.F&amp;V Crop Production details'!F111</f>
        <v>0</v>
      </c>
      <c r="H42" s="215">
        <f>'11.F&amp;V Crop Production details'!G111</f>
        <v>0</v>
      </c>
      <c r="I42" s="215">
        <f>'11.F&amp;V Crop Production details'!H111</f>
        <v>0</v>
      </c>
    </row>
    <row r="43" spans="1:9">
      <c r="A43" s="73" t="str">
        <f>'11.F&amp;V Crop Production details'!A112</f>
        <v>Tomato</v>
      </c>
      <c r="B43" s="169"/>
      <c r="C43" s="215">
        <f>'11.F&amp;V Crop Production details'!B112</f>
        <v>0</v>
      </c>
      <c r="D43" s="215">
        <f>'11.F&amp;V Crop Production details'!C112</f>
        <v>0</v>
      </c>
      <c r="E43" s="215">
        <f>'11.F&amp;V Crop Production details'!D112</f>
        <v>0</v>
      </c>
      <c r="F43" s="215">
        <f>'11.F&amp;V Crop Production details'!E112</f>
        <v>0</v>
      </c>
      <c r="G43" s="215">
        <f>'11.F&amp;V Crop Production details'!F112</f>
        <v>0</v>
      </c>
      <c r="H43" s="215">
        <f>'11.F&amp;V Crop Production details'!G112</f>
        <v>0</v>
      </c>
      <c r="I43" s="215">
        <f>'11.F&amp;V Crop Production details'!H112</f>
        <v>0</v>
      </c>
    </row>
    <row r="44" spans="1:9">
      <c r="A44" s="73" t="str">
        <f>'11.F&amp;V Crop Production details'!A113</f>
        <v>Okra</v>
      </c>
      <c r="B44" s="169"/>
      <c r="C44" s="215">
        <f>'11.F&amp;V Crop Production details'!B113</f>
        <v>0</v>
      </c>
      <c r="D44" s="215">
        <f>'11.F&amp;V Crop Production details'!C113</f>
        <v>0</v>
      </c>
      <c r="E44" s="215">
        <f>'11.F&amp;V Crop Production details'!D113</f>
        <v>0</v>
      </c>
      <c r="F44" s="215">
        <f>'11.F&amp;V Crop Production details'!E113</f>
        <v>0</v>
      </c>
      <c r="G44" s="215">
        <f>'11.F&amp;V Crop Production details'!F113</f>
        <v>0</v>
      </c>
      <c r="H44" s="215">
        <f>'11.F&amp;V Crop Production details'!G113</f>
        <v>0</v>
      </c>
      <c r="I44" s="215">
        <f>'11.F&amp;V Crop Production details'!H113</f>
        <v>0</v>
      </c>
    </row>
    <row r="45" spans="1:9">
      <c r="A45" s="73" t="str">
        <f>'11.F&amp;V Crop Production details'!A114</f>
        <v>Chilli</v>
      </c>
      <c r="B45" s="169"/>
      <c r="C45" s="215">
        <f>'11.F&amp;V Crop Production details'!B114</f>
        <v>0</v>
      </c>
      <c r="D45" s="215">
        <f>'11.F&amp;V Crop Production details'!C114</f>
        <v>0</v>
      </c>
      <c r="E45" s="215">
        <f>'11.F&amp;V Crop Production details'!D114</f>
        <v>0</v>
      </c>
      <c r="F45" s="215">
        <f>'11.F&amp;V Crop Production details'!E114</f>
        <v>0</v>
      </c>
      <c r="G45" s="215">
        <f>'11.F&amp;V Crop Production details'!F114</f>
        <v>0</v>
      </c>
      <c r="H45" s="215">
        <f>'11.F&amp;V Crop Production details'!G114</f>
        <v>0</v>
      </c>
      <c r="I45" s="215">
        <f>'11.F&amp;V Crop Production details'!H114</f>
        <v>0</v>
      </c>
    </row>
    <row r="46" spans="1:9">
      <c r="A46" s="73" t="str">
        <f>'11.F&amp;V Crop Production details'!A115</f>
        <v>Brinjal</v>
      </c>
      <c r="B46" s="169"/>
      <c r="C46" s="215">
        <f>'11.F&amp;V Crop Production details'!B115</f>
        <v>0</v>
      </c>
      <c r="D46" s="215">
        <f>'11.F&amp;V Crop Production details'!C115</f>
        <v>0</v>
      </c>
      <c r="E46" s="215">
        <f>'11.F&amp;V Crop Production details'!D115</f>
        <v>0</v>
      </c>
      <c r="F46" s="215">
        <f>'11.F&amp;V Crop Production details'!E115</f>
        <v>0</v>
      </c>
      <c r="G46" s="215">
        <f>'11.F&amp;V Crop Production details'!F115</f>
        <v>0</v>
      </c>
      <c r="H46" s="215">
        <f>'11.F&amp;V Crop Production details'!G115</f>
        <v>0</v>
      </c>
      <c r="I46" s="215">
        <f>'11.F&amp;V Crop Production details'!H115</f>
        <v>0</v>
      </c>
    </row>
    <row r="47" spans="1:9">
      <c r="A47" s="73">
        <f>'11.F&amp;V Crop Production details'!A116</f>
        <v>0</v>
      </c>
      <c r="B47" s="169"/>
      <c r="C47" s="215">
        <f>'11.F&amp;V Crop Production details'!B116</f>
        <v>0</v>
      </c>
      <c r="D47" s="215">
        <f>'11.F&amp;V Crop Production details'!C116</f>
        <v>0</v>
      </c>
      <c r="E47" s="215">
        <f>'11.F&amp;V Crop Production details'!D116</f>
        <v>0</v>
      </c>
      <c r="F47" s="215">
        <f>'11.F&amp;V Crop Production details'!E116</f>
        <v>0</v>
      </c>
      <c r="G47" s="215">
        <f>'11.F&amp;V Crop Production details'!F116</f>
        <v>0</v>
      </c>
      <c r="H47" s="215">
        <f>'11.F&amp;V Crop Production details'!G116</f>
        <v>0</v>
      </c>
      <c r="I47" s="215">
        <f>'11.F&amp;V Crop Production details'!H116</f>
        <v>0</v>
      </c>
    </row>
    <row r="48" spans="1:9">
      <c r="A48" s="73">
        <f>'11.F&amp;V Crop Production details'!A117</f>
        <v>0</v>
      </c>
      <c r="B48" s="169"/>
      <c r="C48" s="215">
        <f>'11.F&amp;V Crop Production details'!B117</f>
        <v>0</v>
      </c>
      <c r="D48" s="215">
        <f>'11.F&amp;V Crop Production details'!C117</f>
        <v>0</v>
      </c>
      <c r="E48" s="215">
        <f>'11.F&amp;V Crop Production details'!D117</f>
        <v>0</v>
      </c>
      <c r="F48" s="215">
        <f>'11.F&amp;V Crop Production details'!E117</f>
        <v>0</v>
      </c>
      <c r="G48" s="215">
        <f>'11.F&amp;V Crop Production details'!F117</f>
        <v>0</v>
      </c>
      <c r="H48" s="215">
        <f>'11.F&amp;V Crop Production details'!G117</f>
        <v>0</v>
      </c>
      <c r="I48" s="215">
        <f>'11.F&amp;V Crop Production details'!H117</f>
        <v>0</v>
      </c>
    </row>
    <row r="49" spans="1:9">
      <c r="A49" s="73">
        <f>'11.F&amp;V Crop Production details'!A118</f>
        <v>0</v>
      </c>
      <c r="B49" s="169"/>
      <c r="C49" s="215">
        <f>'11.F&amp;V Crop Production details'!B118</f>
        <v>0</v>
      </c>
      <c r="D49" s="215">
        <f>'11.F&amp;V Crop Production details'!C118</f>
        <v>0</v>
      </c>
      <c r="E49" s="215">
        <f>'11.F&amp;V Crop Production details'!D118</f>
        <v>0</v>
      </c>
      <c r="F49" s="215">
        <f>'11.F&amp;V Crop Production details'!E118</f>
        <v>0</v>
      </c>
      <c r="G49" s="215">
        <f>'11.F&amp;V Crop Production details'!F118</f>
        <v>0</v>
      </c>
      <c r="H49" s="215">
        <f>'11.F&amp;V Crop Production details'!G118</f>
        <v>0</v>
      </c>
      <c r="I49" s="215">
        <f>'11.F&amp;V Crop Production details'!H118</f>
        <v>0</v>
      </c>
    </row>
    <row r="50" spans="1:9">
      <c r="A50" s="73">
        <f>'11.F&amp;V Crop Production details'!A119</f>
        <v>0</v>
      </c>
      <c r="B50" s="169"/>
      <c r="C50" s="215">
        <f>'11.F&amp;V Crop Production details'!B119</f>
        <v>0</v>
      </c>
      <c r="D50" s="215">
        <f>'11.F&amp;V Crop Production details'!C119</f>
        <v>0</v>
      </c>
      <c r="E50" s="215">
        <f>'11.F&amp;V Crop Production details'!D119</f>
        <v>0</v>
      </c>
      <c r="F50" s="215">
        <f>'11.F&amp;V Crop Production details'!E119</f>
        <v>0</v>
      </c>
      <c r="G50" s="215">
        <f>'11.F&amp;V Crop Production details'!F119</f>
        <v>0</v>
      </c>
      <c r="H50" s="215">
        <f>'11.F&amp;V Crop Production details'!G119</f>
        <v>0</v>
      </c>
      <c r="I50" s="215">
        <f>'11.F&amp;V Crop Production details'!H119</f>
        <v>0</v>
      </c>
    </row>
    <row r="51" spans="1:9">
      <c r="A51" s="73">
        <f>'11.F&amp;V Crop Production details'!A120</f>
        <v>0</v>
      </c>
      <c r="B51" s="169"/>
      <c r="C51" s="215">
        <f>'11.F&amp;V Crop Production details'!B120</f>
        <v>0</v>
      </c>
      <c r="D51" s="215">
        <f>'11.F&amp;V Crop Production details'!C120</f>
        <v>0</v>
      </c>
      <c r="E51" s="215">
        <f>'11.F&amp;V Crop Production details'!D120</f>
        <v>0</v>
      </c>
      <c r="F51" s="215">
        <f>'11.F&amp;V Crop Production details'!E120</f>
        <v>0</v>
      </c>
      <c r="G51" s="215">
        <f>'11.F&amp;V Crop Production details'!F120</f>
        <v>0</v>
      </c>
      <c r="H51" s="215">
        <f>'11.F&amp;V Crop Production details'!G120</f>
        <v>0</v>
      </c>
      <c r="I51" s="215">
        <f>'11.F&amp;V Crop Production details'!H120</f>
        <v>0</v>
      </c>
    </row>
    <row r="52" spans="1:9">
      <c r="A52" s="73">
        <f>'11.F&amp;V Crop Production details'!A121</f>
        <v>0</v>
      </c>
      <c r="B52" s="169"/>
      <c r="C52" s="215">
        <f>'11.F&amp;V Crop Production details'!B121</f>
        <v>0</v>
      </c>
      <c r="D52" s="215">
        <f>'11.F&amp;V Crop Production details'!C121</f>
        <v>0</v>
      </c>
      <c r="E52" s="215">
        <f>'11.F&amp;V Crop Production details'!D121</f>
        <v>0</v>
      </c>
      <c r="F52" s="215">
        <f>'11.F&amp;V Crop Production details'!E121</f>
        <v>0</v>
      </c>
      <c r="G52" s="215">
        <f>'11.F&amp;V Crop Production details'!F121</f>
        <v>0</v>
      </c>
      <c r="H52" s="215">
        <f>'11.F&amp;V Crop Production details'!G121</f>
        <v>0</v>
      </c>
      <c r="I52" s="215">
        <f>'11.F&amp;V Crop Production details'!H121</f>
        <v>0</v>
      </c>
    </row>
    <row r="53" spans="1:9">
      <c r="A53" s="73">
        <f>'11.F&amp;V Crop Production details'!A122</f>
        <v>0</v>
      </c>
      <c r="B53" s="169"/>
      <c r="C53" s="215">
        <f>'11.F&amp;V Crop Production details'!B122</f>
        <v>0</v>
      </c>
      <c r="D53" s="215">
        <f>'11.F&amp;V Crop Production details'!C122</f>
        <v>0</v>
      </c>
      <c r="E53" s="215">
        <f>'11.F&amp;V Crop Production details'!D122</f>
        <v>0</v>
      </c>
      <c r="F53" s="215">
        <f>'11.F&amp;V Crop Production details'!E122</f>
        <v>0</v>
      </c>
      <c r="G53" s="215">
        <f>'11.F&amp;V Crop Production details'!F122</f>
        <v>0</v>
      </c>
      <c r="H53" s="215">
        <f>'11.F&amp;V Crop Production details'!G122</f>
        <v>0</v>
      </c>
      <c r="I53" s="215">
        <f>'11.F&amp;V Crop Production details'!H122</f>
        <v>0</v>
      </c>
    </row>
    <row r="54" spans="1:9">
      <c r="A54" s="73" t="str">
        <f>'11.F&amp;V Crop Production details'!A123</f>
        <v>Pomegranate</v>
      </c>
      <c r="B54" s="169"/>
      <c r="C54" s="215">
        <f>'11.F&amp;V Crop Production details'!B123</f>
        <v>0</v>
      </c>
      <c r="D54" s="215">
        <f>'11.F&amp;V Crop Production details'!C123</f>
        <v>0</v>
      </c>
      <c r="E54" s="215">
        <f>'11.F&amp;V Crop Production details'!D123</f>
        <v>0</v>
      </c>
      <c r="F54" s="215">
        <f>'11.F&amp;V Crop Production details'!E123</f>
        <v>0</v>
      </c>
      <c r="G54" s="215">
        <f>'11.F&amp;V Crop Production details'!F123</f>
        <v>0</v>
      </c>
      <c r="H54" s="215">
        <f>'11.F&amp;V Crop Production details'!G123</f>
        <v>0</v>
      </c>
      <c r="I54" s="215">
        <f>'11.F&amp;V Crop Production details'!H123</f>
        <v>0</v>
      </c>
    </row>
    <row r="55" spans="1:9">
      <c r="A55" s="73" t="str">
        <f>'11.F&amp;V Crop Production details'!A124</f>
        <v>Custard Apple</v>
      </c>
      <c r="B55" s="169"/>
      <c r="C55" s="215">
        <f>'11.F&amp;V Crop Production details'!B124</f>
        <v>0</v>
      </c>
      <c r="D55" s="215">
        <f>'11.F&amp;V Crop Production details'!C124</f>
        <v>0</v>
      </c>
      <c r="E55" s="215">
        <f>'11.F&amp;V Crop Production details'!D124</f>
        <v>0</v>
      </c>
      <c r="F55" s="215">
        <f>'11.F&amp;V Crop Production details'!E124</f>
        <v>0</v>
      </c>
      <c r="G55" s="215">
        <f>'11.F&amp;V Crop Production details'!F124</f>
        <v>0</v>
      </c>
      <c r="H55" s="215">
        <f>'11.F&amp;V Crop Production details'!G124</f>
        <v>0</v>
      </c>
      <c r="I55" s="215">
        <f>'11.F&amp;V Crop Production details'!H124</f>
        <v>0</v>
      </c>
    </row>
    <row r="56" spans="1:9">
      <c r="A56" s="73" t="str">
        <f>'11.F&amp;V Crop Production details'!A125</f>
        <v>Guava</v>
      </c>
      <c r="B56" s="169"/>
      <c r="C56" s="215">
        <f>'11.F&amp;V Crop Production details'!B125</f>
        <v>0</v>
      </c>
      <c r="D56" s="215">
        <f>'11.F&amp;V Crop Production details'!C125</f>
        <v>0</v>
      </c>
      <c r="E56" s="215">
        <f>'11.F&amp;V Crop Production details'!D125</f>
        <v>0</v>
      </c>
      <c r="F56" s="215">
        <f>'11.F&amp;V Crop Production details'!E125</f>
        <v>0</v>
      </c>
      <c r="G56" s="215">
        <f>'11.F&amp;V Crop Production details'!F125</f>
        <v>0</v>
      </c>
      <c r="H56" s="215">
        <f>'11.F&amp;V Crop Production details'!G125</f>
        <v>0</v>
      </c>
      <c r="I56" s="215">
        <f>'11.F&amp;V Crop Production details'!H125</f>
        <v>0</v>
      </c>
    </row>
    <row r="57" spans="1:9">
      <c r="A57" s="73" t="str">
        <f>'11.F&amp;V Crop Production details'!A126</f>
        <v>Citrus</v>
      </c>
      <c r="B57" s="169"/>
      <c r="C57" s="215">
        <f>'11.F&amp;V Crop Production details'!B126</f>
        <v>0</v>
      </c>
      <c r="D57" s="215">
        <f>'11.F&amp;V Crop Production details'!C126</f>
        <v>0</v>
      </c>
      <c r="E57" s="215">
        <f>'11.F&amp;V Crop Production details'!D126</f>
        <v>0</v>
      </c>
      <c r="F57" s="215">
        <f>'11.F&amp;V Crop Production details'!E126</f>
        <v>0</v>
      </c>
      <c r="G57" s="215">
        <f>'11.F&amp;V Crop Production details'!F126</f>
        <v>0</v>
      </c>
      <c r="H57" s="215">
        <f>'11.F&amp;V Crop Production details'!G126</f>
        <v>0</v>
      </c>
      <c r="I57" s="215">
        <f>'11.F&amp;V Crop Production details'!H126</f>
        <v>0</v>
      </c>
    </row>
    <row r="58" spans="1:9">
      <c r="A58" s="73"/>
      <c r="B58" s="169"/>
      <c r="C58" s="169"/>
      <c r="D58" s="169"/>
      <c r="E58" s="169"/>
      <c r="F58" s="169"/>
      <c r="G58" s="169"/>
      <c r="H58" s="169"/>
      <c r="I58" s="169"/>
    </row>
    <row r="59" spans="1:9">
      <c r="A59" s="75" t="s">
        <v>183</v>
      </c>
      <c r="B59" s="73"/>
      <c r="C59" s="73"/>
      <c r="D59" s="73"/>
      <c r="E59" s="73"/>
      <c r="F59" s="73"/>
      <c r="G59" s="73"/>
      <c r="H59" s="73"/>
      <c r="I59" s="73"/>
    </row>
    <row r="60" spans="1:9" ht="40.5" customHeight="1">
      <c r="A60" s="75" t="s">
        <v>693</v>
      </c>
      <c r="B60" s="315" t="s">
        <v>694</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4">
        <v>40</v>
      </c>
      <c r="C62" s="170">
        <f>$B62*C9</f>
        <v>0</v>
      </c>
      <c r="D62" s="170">
        <f>$B62*D9</f>
        <v>0</v>
      </c>
      <c r="E62" s="170">
        <f t="shared" ref="E62:I62" si="1">$B62*E9</f>
        <v>0</v>
      </c>
      <c r="F62" s="170">
        <f t="shared" si="1"/>
        <v>0</v>
      </c>
      <c r="G62" s="170">
        <f t="shared" si="1"/>
        <v>0</v>
      </c>
      <c r="H62" s="170">
        <f t="shared" si="1"/>
        <v>0</v>
      </c>
      <c r="I62" s="170">
        <f t="shared" si="1"/>
        <v>0</v>
      </c>
    </row>
    <row r="63" spans="1:9">
      <c r="A63" s="73" t="str">
        <f t="shared" si="0"/>
        <v>Red Gram/Tur</v>
      </c>
      <c r="B63" s="194">
        <v>5</v>
      </c>
      <c r="C63" s="170">
        <f>$B63*C10</f>
        <v>0</v>
      </c>
      <c r="D63" s="170">
        <f t="shared" ref="D63:I63" si="2">$B$63*D10</f>
        <v>0</v>
      </c>
      <c r="E63" s="170">
        <f t="shared" si="2"/>
        <v>0</v>
      </c>
      <c r="F63" s="170">
        <f t="shared" si="2"/>
        <v>0</v>
      </c>
      <c r="G63" s="170">
        <f t="shared" si="2"/>
        <v>0</v>
      </c>
      <c r="H63" s="170">
        <f t="shared" si="2"/>
        <v>0</v>
      </c>
      <c r="I63" s="170">
        <f t="shared" si="2"/>
        <v>0</v>
      </c>
    </row>
    <row r="64" spans="1:9">
      <c r="A64" s="73" t="str">
        <f t="shared" si="0"/>
        <v>Paddy/Rice</v>
      </c>
      <c r="B64" s="194">
        <v>15</v>
      </c>
      <c r="C64" s="170">
        <f>$B64*C11</f>
        <v>0</v>
      </c>
      <c r="D64" s="170">
        <f t="shared" ref="D64:I64" si="3">$B$64*D11</f>
        <v>0</v>
      </c>
      <c r="E64" s="170">
        <f t="shared" si="3"/>
        <v>0</v>
      </c>
      <c r="F64" s="170">
        <f t="shared" si="3"/>
        <v>0</v>
      </c>
      <c r="G64" s="170">
        <f t="shared" si="3"/>
        <v>0</v>
      </c>
      <c r="H64" s="170">
        <f t="shared" si="3"/>
        <v>0</v>
      </c>
      <c r="I64" s="170">
        <f t="shared" si="3"/>
        <v>0</v>
      </c>
    </row>
    <row r="65" spans="1:9">
      <c r="A65" s="73" t="str">
        <f t="shared" si="0"/>
        <v>Green Gram/ Moong</v>
      </c>
      <c r="B65" s="194">
        <v>15</v>
      </c>
      <c r="C65" s="170">
        <f>$B65*C12</f>
        <v>0</v>
      </c>
      <c r="D65" s="170">
        <f t="shared" ref="D65:I67" si="4">$B65*D12</f>
        <v>0</v>
      </c>
      <c r="E65" s="170">
        <f t="shared" si="4"/>
        <v>0</v>
      </c>
      <c r="F65" s="170">
        <f t="shared" si="4"/>
        <v>0</v>
      </c>
      <c r="G65" s="170">
        <f t="shared" si="4"/>
        <v>0</v>
      </c>
      <c r="H65" s="170">
        <f t="shared" si="4"/>
        <v>0</v>
      </c>
      <c r="I65" s="170">
        <f t="shared" si="4"/>
        <v>0</v>
      </c>
    </row>
    <row r="66" spans="1:9">
      <c r="A66" s="73" t="str">
        <f t="shared" si="0"/>
        <v>Maize</v>
      </c>
      <c r="B66" s="194">
        <v>25</v>
      </c>
      <c r="C66" s="170">
        <f>$B66*C13</f>
        <v>0</v>
      </c>
      <c r="D66" s="170">
        <f t="shared" si="4"/>
        <v>0</v>
      </c>
      <c r="E66" s="170">
        <f t="shared" si="4"/>
        <v>0</v>
      </c>
      <c r="F66" s="170">
        <f t="shared" si="4"/>
        <v>0</v>
      </c>
      <c r="G66" s="170">
        <f t="shared" si="4"/>
        <v>0</v>
      </c>
      <c r="H66" s="170">
        <f t="shared" si="4"/>
        <v>0</v>
      </c>
      <c r="I66" s="170">
        <f t="shared" si="4"/>
        <v>0</v>
      </c>
    </row>
    <row r="67" spans="1:9">
      <c r="A67" s="73" t="str">
        <f t="shared" si="0"/>
        <v>Black Gram/Udid</v>
      </c>
      <c r="B67" s="194">
        <v>15</v>
      </c>
      <c r="C67" s="170">
        <f>$B67*C14</f>
        <v>0</v>
      </c>
      <c r="D67" s="170">
        <f t="shared" si="4"/>
        <v>0</v>
      </c>
      <c r="E67" s="170">
        <f t="shared" si="4"/>
        <v>0</v>
      </c>
      <c r="F67" s="170">
        <f t="shared" si="4"/>
        <v>0</v>
      </c>
      <c r="G67" s="170">
        <f t="shared" si="4"/>
        <v>0</v>
      </c>
      <c r="H67" s="170">
        <f t="shared" si="4"/>
        <v>0</v>
      </c>
      <c r="I67" s="170">
        <f t="shared" si="4"/>
        <v>0</v>
      </c>
    </row>
    <row r="68" spans="1:9">
      <c r="A68" s="73" t="str">
        <f t="shared" si="0"/>
        <v>Bajra</v>
      </c>
      <c r="B68" s="194">
        <v>5</v>
      </c>
      <c r="C68" s="170">
        <f t="shared" ref="C68:I68" si="5">$B68*C15</f>
        <v>0</v>
      </c>
      <c r="D68" s="170">
        <f t="shared" si="5"/>
        <v>0</v>
      </c>
      <c r="E68" s="170">
        <f t="shared" si="5"/>
        <v>0</v>
      </c>
      <c r="F68" s="170">
        <f t="shared" si="5"/>
        <v>0</v>
      </c>
      <c r="G68" s="170">
        <f t="shared" si="5"/>
        <v>0</v>
      </c>
      <c r="H68" s="170">
        <f t="shared" si="5"/>
        <v>0</v>
      </c>
      <c r="I68" s="170">
        <f t="shared" si="5"/>
        <v>0</v>
      </c>
    </row>
    <row r="69" spans="1:9">
      <c r="A69" s="73" t="str">
        <f t="shared" si="0"/>
        <v>Jawar</v>
      </c>
      <c r="B69" s="194">
        <v>5</v>
      </c>
      <c r="C69" s="170">
        <f t="shared" ref="C69:I69" si="6">$B69*C16</f>
        <v>0</v>
      </c>
      <c r="D69" s="170">
        <f t="shared" si="6"/>
        <v>0</v>
      </c>
      <c r="E69" s="170">
        <f t="shared" si="6"/>
        <v>0</v>
      </c>
      <c r="F69" s="170">
        <f t="shared" si="6"/>
        <v>0</v>
      </c>
      <c r="G69" s="170">
        <f t="shared" si="6"/>
        <v>0</v>
      </c>
      <c r="H69" s="170">
        <f t="shared" si="6"/>
        <v>0</v>
      </c>
      <c r="I69" s="170">
        <f t="shared" si="6"/>
        <v>0</v>
      </c>
    </row>
    <row r="70" spans="1:9">
      <c r="A70" s="75" t="str">
        <f t="shared" si="0"/>
        <v>Rabi Crop</v>
      </c>
      <c r="B70" s="194"/>
      <c r="C70" s="170"/>
      <c r="D70" s="170"/>
      <c r="E70" s="170"/>
      <c r="F70" s="170"/>
      <c r="G70" s="170"/>
      <c r="H70" s="170"/>
      <c r="I70" s="170"/>
    </row>
    <row r="71" spans="1:9">
      <c r="A71" s="73" t="str">
        <f t="shared" si="0"/>
        <v>Wheat</v>
      </c>
      <c r="B71" s="194">
        <v>20</v>
      </c>
      <c r="C71" s="170">
        <f t="shared" ref="C71:I71" si="7">$B71*C18</f>
        <v>0</v>
      </c>
      <c r="D71" s="170">
        <f t="shared" si="7"/>
        <v>0</v>
      </c>
      <c r="E71" s="170">
        <f t="shared" si="7"/>
        <v>0</v>
      </c>
      <c r="F71" s="170">
        <f t="shared" si="7"/>
        <v>0</v>
      </c>
      <c r="G71" s="170">
        <f t="shared" si="7"/>
        <v>0</v>
      </c>
      <c r="H71" s="170">
        <f t="shared" si="7"/>
        <v>0</v>
      </c>
      <c r="I71" s="170">
        <f t="shared" si="7"/>
        <v>0</v>
      </c>
    </row>
    <row r="72" spans="1:9">
      <c r="A72" s="73" t="str">
        <f t="shared" si="0"/>
        <v>Bengal Gram/Channa</v>
      </c>
      <c r="B72" s="194">
        <v>25</v>
      </c>
      <c r="C72" s="170">
        <f t="shared" ref="C72:I72" si="8">$B72*C19</f>
        <v>0</v>
      </c>
      <c r="D72" s="170">
        <f t="shared" si="8"/>
        <v>0</v>
      </c>
      <c r="E72" s="170">
        <f t="shared" si="8"/>
        <v>0</v>
      </c>
      <c r="F72" s="170">
        <f t="shared" si="8"/>
        <v>0</v>
      </c>
      <c r="G72" s="170">
        <f t="shared" si="8"/>
        <v>0</v>
      </c>
      <c r="H72" s="170">
        <f t="shared" si="8"/>
        <v>0</v>
      </c>
      <c r="I72" s="170">
        <f t="shared" si="8"/>
        <v>0</v>
      </c>
    </row>
    <row r="73" spans="1:9">
      <c r="A73" s="73" t="str">
        <f t="shared" si="0"/>
        <v>Jawar</v>
      </c>
      <c r="B73" s="194">
        <v>5</v>
      </c>
      <c r="C73" s="170">
        <f t="shared" ref="C73:I73" si="9">$B73*C20</f>
        <v>0</v>
      </c>
      <c r="D73" s="170">
        <f t="shared" si="9"/>
        <v>0</v>
      </c>
      <c r="E73" s="170">
        <f t="shared" si="9"/>
        <v>0</v>
      </c>
      <c r="F73" s="170">
        <f t="shared" si="9"/>
        <v>0</v>
      </c>
      <c r="G73" s="170">
        <f t="shared" si="9"/>
        <v>0</v>
      </c>
      <c r="H73" s="170">
        <f t="shared" si="9"/>
        <v>0</v>
      </c>
      <c r="I73" s="170">
        <f t="shared" si="9"/>
        <v>0</v>
      </c>
    </row>
    <row r="74" spans="1:9">
      <c r="A74" s="73" t="str">
        <f t="shared" si="0"/>
        <v>Maize</v>
      </c>
      <c r="B74" s="194">
        <v>20</v>
      </c>
      <c r="C74" s="170">
        <f t="shared" ref="C74:I74" si="10">$B74*C21</f>
        <v>0</v>
      </c>
      <c r="D74" s="170">
        <f t="shared" si="10"/>
        <v>0</v>
      </c>
      <c r="E74" s="170">
        <f t="shared" si="10"/>
        <v>0</v>
      </c>
      <c r="F74" s="170">
        <f t="shared" si="10"/>
        <v>0</v>
      </c>
      <c r="G74" s="170">
        <f t="shared" si="10"/>
        <v>0</v>
      </c>
      <c r="H74" s="170">
        <f t="shared" si="10"/>
        <v>0</v>
      </c>
      <c r="I74" s="170">
        <f t="shared" si="10"/>
        <v>0</v>
      </c>
    </row>
    <row r="75" spans="1:9">
      <c r="A75" s="73" t="str">
        <f t="shared" si="0"/>
        <v>Safflower</v>
      </c>
      <c r="B75" s="194"/>
      <c r="C75" s="170">
        <f t="shared" ref="C75:I75" si="11">$B75*C22</f>
        <v>0</v>
      </c>
      <c r="D75" s="170">
        <f t="shared" si="11"/>
        <v>0</v>
      </c>
      <c r="E75" s="170">
        <f t="shared" si="11"/>
        <v>0</v>
      </c>
      <c r="F75" s="170">
        <f t="shared" si="11"/>
        <v>0</v>
      </c>
      <c r="G75" s="170">
        <f t="shared" si="11"/>
        <v>0</v>
      </c>
      <c r="H75" s="170">
        <f t="shared" si="11"/>
        <v>0</v>
      </c>
      <c r="I75" s="170">
        <f t="shared" si="11"/>
        <v>0</v>
      </c>
    </row>
    <row r="76" spans="1:9">
      <c r="A76" s="73">
        <f t="shared" si="0"/>
        <v>0</v>
      </c>
      <c r="B76" s="194"/>
      <c r="C76" s="170">
        <f t="shared" ref="C76:I76" si="12">$B76*C23</f>
        <v>0</v>
      </c>
      <c r="D76" s="170">
        <f t="shared" si="12"/>
        <v>0</v>
      </c>
      <c r="E76" s="170">
        <f t="shared" si="12"/>
        <v>0</v>
      </c>
      <c r="F76" s="170">
        <f t="shared" si="12"/>
        <v>0</v>
      </c>
      <c r="G76" s="170">
        <f t="shared" si="12"/>
        <v>0</v>
      </c>
      <c r="H76" s="170">
        <f t="shared" si="12"/>
        <v>0</v>
      </c>
      <c r="I76" s="170">
        <f t="shared" si="12"/>
        <v>0</v>
      </c>
    </row>
    <row r="77" spans="1:9">
      <c r="A77" s="73">
        <f t="shared" si="0"/>
        <v>0</v>
      </c>
      <c r="B77" s="194"/>
      <c r="C77" s="170">
        <f t="shared" ref="C77:I77" si="13">$B77*C24</f>
        <v>0</v>
      </c>
      <c r="D77" s="170">
        <f t="shared" si="13"/>
        <v>0</v>
      </c>
      <c r="E77" s="170">
        <f t="shared" si="13"/>
        <v>0</v>
      </c>
      <c r="F77" s="170">
        <f t="shared" si="13"/>
        <v>0</v>
      </c>
      <c r="G77" s="170">
        <f t="shared" si="13"/>
        <v>0</v>
      </c>
      <c r="H77" s="170">
        <f t="shared" si="13"/>
        <v>0</v>
      </c>
      <c r="I77" s="170">
        <f t="shared" si="13"/>
        <v>0</v>
      </c>
    </row>
    <row r="78" spans="1:9">
      <c r="A78" s="73">
        <f t="shared" si="0"/>
        <v>0</v>
      </c>
      <c r="B78" s="194"/>
      <c r="C78" s="170">
        <f t="shared" ref="C78:I78" si="14">$B78*C25</f>
        <v>0</v>
      </c>
      <c r="D78" s="170">
        <f t="shared" si="14"/>
        <v>0</v>
      </c>
      <c r="E78" s="170">
        <f t="shared" si="14"/>
        <v>0</v>
      </c>
      <c r="F78" s="170">
        <f t="shared" si="14"/>
        <v>0</v>
      </c>
      <c r="G78" s="170">
        <f t="shared" si="14"/>
        <v>0</v>
      </c>
      <c r="H78" s="170">
        <f t="shared" si="14"/>
        <v>0</v>
      </c>
      <c r="I78" s="170">
        <f t="shared" si="14"/>
        <v>0</v>
      </c>
    </row>
    <row r="79" spans="1:9">
      <c r="A79" s="75" t="str">
        <f t="shared" si="0"/>
        <v>Summer</v>
      </c>
      <c r="B79" s="194"/>
      <c r="C79" s="170"/>
      <c r="D79" s="170"/>
      <c r="E79" s="170"/>
      <c r="F79" s="170"/>
      <c r="G79" s="170"/>
      <c r="H79" s="170"/>
      <c r="I79" s="170"/>
    </row>
    <row r="80" spans="1:9">
      <c r="A80" s="73" t="str">
        <f t="shared" si="0"/>
        <v>Groundnut</v>
      </c>
      <c r="B80" s="194"/>
      <c r="C80" s="170">
        <f t="shared" ref="C80:I80" si="15">$B80*C27</f>
        <v>0</v>
      </c>
      <c r="D80" s="170">
        <f t="shared" si="15"/>
        <v>0</v>
      </c>
      <c r="E80" s="170">
        <f t="shared" si="15"/>
        <v>0</v>
      </c>
      <c r="F80" s="170">
        <f t="shared" si="15"/>
        <v>0</v>
      </c>
      <c r="G80" s="170">
        <f t="shared" si="15"/>
        <v>0</v>
      </c>
      <c r="H80" s="170">
        <f t="shared" si="15"/>
        <v>0</v>
      </c>
      <c r="I80" s="170">
        <f t="shared" si="15"/>
        <v>0</v>
      </c>
    </row>
    <row r="81" spans="1:9">
      <c r="A81" s="73">
        <f t="shared" si="0"/>
        <v>0</v>
      </c>
      <c r="B81" s="194"/>
      <c r="C81" s="170">
        <f t="shared" ref="C81:I81" si="16">$B81*C28</f>
        <v>0</v>
      </c>
      <c r="D81" s="170">
        <f t="shared" si="16"/>
        <v>0</v>
      </c>
      <c r="E81" s="170">
        <f t="shared" si="16"/>
        <v>0</v>
      </c>
      <c r="F81" s="170">
        <f t="shared" si="16"/>
        <v>0</v>
      </c>
      <c r="G81" s="170">
        <f t="shared" si="16"/>
        <v>0</v>
      </c>
      <c r="H81" s="170">
        <f t="shared" si="16"/>
        <v>0</v>
      </c>
      <c r="I81" s="170">
        <f t="shared" si="16"/>
        <v>0</v>
      </c>
    </row>
    <row r="82" spans="1:9">
      <c r="A82" s="73">
        <f t="shared" si="0"/>
        <v>0</v>
      </c>
      <c r="B82" s="194"/>
      <c r="C82" s="170">
        <f t="shared" ref="C82:I82" si="17">$B82*C29</f>
        <v>0</v>
      </c>
      <c r="D82" s="170">
        <f t="shared" si="17"/>
        <v>0</v>
      </c>
      <c r="E82" s="170">
        <f t="shared" si="17"/>
        <v>0</v>
      </c>
      <c r="F82" s="170">
        <f t="shared" si="17"/>
        <v>0</v>
      </c>
      <c r="G82" s="170">
        <f t="shared" si="17"/>
        <v>0</v>
      </c>
      <c r="H82" s="170">
        <f t="shared" si="17"/>
        <v>0</v>
      </c>
      <c r="I82" s="170">
        <f t="shared" si="17"/>
        <v>0</v>
      </c>
    </row>
    <row r="83" spans="1:9">
      <c r="A83" s="73">
        <f t="shared" si="0"/>
        <v>0</v>
      </c>
      <c r="B83" s="194"/>
      <c r="C83" s="170">
        <f t="shared" ref="C83:I83" si="18">$B83*C30</f>
        <v>0</v>
      </c>
      <c r="D83" s="170">
        <f t="shared" si="18"/>
        <v>0</v>
      </c>
      <c r="E83" s="170">
        <f t="shared" si="18"/>
        <v>0</v>
      </c>
      <c r="F83" s="170">
        <f t="shared" si="18"/>
        <v>0</v>
      </c>
      <c r="G83" s="170">
        <f t="shared" si="18"/>
        <v>0</v>
      </c>
      <c r="H83" s="170">
        <f t="shared" si="18"/>
        <v>0</v>
      </c>
      <c r="I83" s="170">
        <f t="shared" si="18"/>
        <v>0</v>
      </c>
    </row>
    <row r="84" spans="1:9">
      <c r="A84" s="73">
        <f t="shared" si="0"/>
        <v>0</v>
      </c>
      <c r="B84" s="194"/>
      <c r="C84" s="170">
        <f t="shared" ref="C84:I84" si="19">$B84*C31</f>
        <v>0</v>
      </c>
      <c r="D84" s="170">
        <f t="shared" si="19"/>
        <v>0</v>
      </c>
      <c r="E84" s="170">
        <f t="shared" si="19"/>
        <v>0</v>
      </c>
      <c r="F84" s="170">
        <f t="shared" si="19"/>
        <v>0</v>
      </c>
      <c r="G84" s="170">
        <f t="shared" si="19"/>
        <v>0</v>
      </c>
      <c r="H84" s="170">
        <f t="shared" si="19"/>
        <v>0</v>
      </c>
      <c r="I84" s="170">
        <f t="shared" si="19"/>
        <v>0</v>
      </c>
    </row>
    <row r="85" spans="1:9">
      <c r="A85" s="75" t="str">
        <f t="shared" si="0"/>
        <v>Fruit  &amp; Vegetables Crop Production Details</v>
      </c>
      <c r="B85" s="194"/>
      <c r="C85" s="170"/>
      <c r="D85" s="170"/>
      <c r="E85" s="170"/>
      <c r="F85" s="170"/>
      <c r="G85" s="170"/>
      <c r="H85" s="170"/>
      <c r="I85" s="170"/>
    </row>
    <row r="86" spans="1:9">
      <c r="A86" s="73" t="str">
        <f t="shared" si="0"/>
        <v>Onion</v>
      </c>
      <c r="B86" s="194"/>
      <c r="C86" s="170">
        <f t="shared" ref="C86:I86" si="20">$B86*C33</f>
        <v>0</v>
      </c>
      <c r="D86" s="170">
        <f t="shared" si="20"/>
        <v>0</v>
      </c>
      <c r="E86" s="170">
        <f t="shared" si="20"/>
        <v>0</v>
      </c>
      <c r="F86" s="170">
        <f t="shared" si="20"/>
        <v>0</v>
      </c>
      <c r="G86" s="170">
        <f t="shared" si="20"/>
        <v>0</v>
      </c>
      <c r="H86" s="170">
        <f t="shared" si="20"/>
        <v>0</v>
      </c>
      <c r="I86" s="170">
        <f t="shared" si="20"/>
        <v>0</v>
      </c>
    </row>
    <row r="87" spans="1:9">
      <c r="A87" s="73" t="str">
        <f t="shared" si="0"/>
        <v>Tomato</v>
      </c>
      <c r="B87" s="194"/>
      <c r="C87" s="170">
        <f t="shared" ref="C87:I87" si="21">$B87*C34</f>
        <v>0</v>
      </c>
      <c r="D87" s="170">
        <f t="shared" si="21"/>
        <v>0</v>
      </c>
      <c r="E87" s="170">
        <f t="shared" si="21"/>
        <v>0</v>
      </c>
      <c r="F87" s="170">
        <f t="shared" si="21"/>
        <v>0</v>
      </c>
      <c r="G87" s="170">
        <f t="shared" si="21"/>
        <v>0</v>
      </c>
      <c r="H87" s="170">
        <f t="shared" si="21"/>
        <v>0</v>
      </c>
      <c r="I87" s="170">
        <f t="shared" si="21"/>
        <v>0</v>
      </c>
    </row>
    <row r="88" spans="1:9">
      <c r="A88" s="73" t="str">
        <f t="shared" si="0"/>
        <v>Okra</v>
      </c>
      <c r="B88" s="194"/>
      <c r="C88" s="170">
        <f t="shared" ref="C88:I88" si="22">$B88*C35</f>
        <v>0</v>
      </c>
      <c r="D88" s="170">
        <f t="shared" si="22"/>
        <v>0</v>
      </c>
      <c r="E88" s="170">
        <f t="shared" si="22"/>
        <v>0</v>
      </c>
      <c r="F88" s="170">
        <f t="shared" si="22"/>
        <v>0</v>
      </c>
      <c r="G88" s="170">
        <f t="shared" si="22"/>
        <v>0</v>
      </c>
      <c r="H88" s="170">
        <f t="shared" si="22"/>
        <v>0</v>
      </c>
      <c r="I88" s="170">
        <f t="shared" si="22"/>
        <v>0</v>
      </c>
    </row>
    <row r="89" spans="1:9">
      <c r="A89" s="73" t="str">
        <f t="shared" si="0"/>
        <v>Chilli</v>
      </c>
      <c r="B89" s="194"/>
      <c r="C89" s="170">
        <f t="shared" ref="C89:I89" si="23">$B89*C36</f>
        <v>0</v>
      </c>
      <c r="D89" s="170">
        <f t="shared" si="23"/>
        <v>0</v>
      </c>
      <c r="E89" s="170">
        <f t="shared" si="23"/>
        <v>0</v>
      </c>
      <c r="F89" s="170">
        <f t="shared" si="23"/>
        <v>0</v>
      </c>
      <c r="G89" s="170">
        <f t="shared" si="23"/>
        <v>0</v>
      </c>
      <c r="H89" s="170">
        <f t="shared" si="23"/>
        <v>0</v>
      </c>
      <c r="I89" s="170">
        <f t="shared" si="23"/>
        <v>0</v>
      </c>
    </row>
    <row r="90" spans="1:9">
      <c r="A90" s="73" t="str">
        <f t="shared" si="0"/>
        <v>Potato</v>
      </c>
      <c r="B90" s="194"/>
      <c r="C90" s="170">
        <f t="shared" ref="C90:I90" si="24">$B90*C37</f>
        <v>0</v>
      </c>
      <c r="D90" s="170">
        <f t="shared" si="24"/>
        <v>0</v>
      </c>
      <c r="E90" s="170">
        <f t="shared" si="24"/>
        <v>0</v>
      </c>
      <c r="F90" s="170">
        <f t="shared" si="24"/>
        <v>0</v>
      </c>
      <c r="G90" s="170">
        <f t="shared" si="24"/>
        <v>0</v>
      </c>
      <c r="H90" s="170">
        <f t="shared" si="24"/>
        <v>0</v>
      </c>
      <c r="I90" s="170">
        <f t="shared" si="24"/>
        <v>0</v>
      </c>
    </row>
    <row r="91" spans="1:9">
      <c r="A91" s="73">
        <f t="shared" si="0"/>
        <v>0</v>
      </c>
      <c r="B91" s="194"/>
      <c r="C91" s="170">
        <f t="shared" ref="C91:I91" si="25">$B91*C38</f>
        <v>0</v>
      </c>
      <c r="D91" s="170">
        <f t="shared" si="25"/>
        <v>0</v>
      </c>
      <c r="E91" s="170">
        <f t="shared" si="25"/>
        <v>0</v>
      </c>
      <c r="F91" s="170">
        <f t="shared" si="25"/>
        <v>0</v>
      </c>
      <c r="G91" s="170">
        <f t="shared" si="25"/>
        <v>0</v>
      </c>
      <c r="H91" s="170">
        <f t="shared" si="25"/>
        <v>0</v>
      </c>
      <c r="I91" s="170">
        <f t="shared" si="25"/>
        <v>0</v>
      </c>
    </row>
    <row r="92" spans="1:9">
      <c r="A92" s="73">
        <f t="shared" si="0"/>
        <v>0</v>
      </c>
      <c r="B92" s="194"/>
      <c r="C92" s="170">
        <f t="shared" ref="C92:I92" si="26">$B92*C39</f>
        <v>0</v>
      </c>
      <c r="D92" s="170">
        <f t="shared" si="26"/>
        <v>0</v>
      </c>
      <c r="E92" s="170">
        <f t="shared" si="26"/>
        <v>0</v>
      </c>
      <c r="F92" s="170">
        <f t="shared" si="26"/>
        <v>0</v>
      </c>
      <c r="G92" s="170">
        <f t="shared" si="26"/>
        <v>0</v>
      </c>
      <c r="H92" s="170">
        <f t="shared" si="26"/>
        <v>0</v>
      </c>
      <c r="I92" s="170">
        <f t="shared" si="26"/>
        <v>0</v>
      </c>
    </row>
    <row r="93" spans="1:9">
      <c r="A93" s="73">
        <f t="shared" ref="A93:A110" si="27">A40</f>
        <v>0</v>
      </c>
      <c r="B93" s="194"/>
      <c r="C93" s="170">
        <f t="shared" ref="C93:I93" si="28">$B93*C40</f>
        <v>0</v>
      </c>
      <c r="D93" s="170">
        <f t="shared" si="28"/>
        <v>0</v>
      </c>
      <c r="E93" s="170">
        <f t="shared" si="28"/>
        <v>0</v>
      </c>
      <c r="F93" s="170">
        <f t="shared" si="28"/>
        <v>0</v>
      </c>
      <c r="G93" s="170">
        <f t="shared" si="28"/>
        <v>0</v>
      </c>
      <c r="H93" s="170">
        <f t="shared" si="28"/>
        <v>0</v>
      </c>
      <c r="I93" s="170">
        <f t="shared" si="28"/>
        <v>0</v>
      </c>
    </row>
    <row r="94" spans="1:9">
      <c r="A94" s="73">
        <f t="shared" si="27"/>
        <v>0</v>
      </c>
      <c r="B94" s="194"/>
      <c r="C94" s="170">
        <f t="shared" ref="C94:I94" si="29">$B94*C41</f>
        <v>0</v>
      </c>
      <c r="D94" s="170">
        <f t="shared" si="29"/>
        <v>0</v>
      </c>
      <c r="E94" s="170">
        <f t="shared" si="29"/>
        <v>0</v>
      </c>
      <c r="F94" s="170">
        <f t="shared" si="29"/>
        <v>0</v>
      </c>
      <c r="G94" s="170">
        <f t="shared" si="29"/>
        <v>0</v>
      </c>
      <c r="H94" s="170">
        <f t="shared" si="29"/>
        <v>0</v>
      </c>
      <c r="I94" s="170">
        <f t="shared" si="29"/>
        <v>0</v>
      </c>
    </row>
    <row r="95" spans="1:9">
      <c r="A95" s="73" t="str">
        <f t="shared" si="27"/>
        <v>Onion</v>
      </c>
      <c r="B95" s="194"/>
      <c r="C95" s="170">
        <f t="shared" ref="C95:I95" si="30">$B95*C42</f>
        <v>0</v>
      </c>
      <c r="D95" s="170">
        <f t="shared" si="30"/>
        <v>0</v>
      </c>
      <c r="E95" s="170">
        <f t="shared" si="30"/>
        <v>0</v>
      </c>
      <c r="F95" s="170">
        <f t="shared" si="30"/>
        <v>0</v>
      </c>
      <c r="G95" s="170">
        <f t="shared" si="30"/>
        <v>0</v>
      </c>
      <c r="H95" s="170">
        <f t="shared" si="30"/>
        <v>0</v>
      </c>
      <c r="I95" s="170">
        <f t="shared" si="30"/>
        <v>0</v>
      </c>
    </row>
    <row r="96" spans="1:9">
      <c r="A96" s="73" t="str">
        <f t="shared" si="27"/>
        <v>Tomato</v>
      </c>
      <c r="B96" s="194"/>
      <c r="C96" s="170">
        <f t="shared" ref="C96:I96" si="31">$B96*C43</f>
        <v>0</v>
      </c>
      <c r="D96" s="170">
        <f t="shared" si="31"/>
        <v>0</v>
      </c>
      <c r="E96" s="170">
        <f t="shared" si="31"/>
        <v>0</v>
      </c>
      <c r="F96" s="170">
        <f t="shared" si="31"/>
        <v>0</v>
      </c>
      <c r="G96" s="170">
        <f t="shared" si="31"/>
        <v>0</v>
      </c>
      <c r="H96" s="170">
        <f t="shared" si="31"/>
        <v>0</v>
      </c>
      <c r="I96" s="170">
        <f t="shared" si="31"/>
        <v>0</v>
      </c>
    </row>
    <row r="97" spans="1:9">
      <c r="A97" s="73" t="str">
        <f t="shared" si="27"/>
        <v>Okra</v>
      </c>
      <c r="B97" s="194"/>
      <c r="C97" s="170">
        <f t="shared" ref="C97:I97" si="32">$B97*C44</f>
        <v>0</v>
      </c>
      <c r="D97" s="170">
        <f t="shared" si="32"/>
        <v>0</v>
      </c>
      <c r="E97" s="170">
        <f t="shared" si="32"/>
        <v>0</v>
      </c>
      <c r="F97" s="170">
        <f t="shared" si="32"/>
        <v>0</v>
      </c>
      <c r="G97" s="170">
        <f t="shared" si="32"/>
        <v>0</v>
      </c>
      <c r="H97" s="170">
        <f t="shared" si="32"/>
        <v>0</v>
      </c>
      <c r="I97" s="170">
        <f t="shared" si="32"/>
        <v>0</v>
      </c>
    </row>
    <row r="98" spans="1:9">
      <c r="A98" s="73" t="str">
        <f t="shared" si="27"/>
        <v>Chilli</v>
      </c>
      <c r="B98" s="194"/>
      <c r="C98" s="170">
        <f t="shared" ref="C98:I98" si="33">$B98*C45</f>
        <v>0</v>
      </c>
      <c r="D98" s="170">
        <f t="shared" si="33"/>
        <v>0</v>
      </c>
      <c r="E98" s="170">
        <f t="shared" si="33"/>
        <v>0</v>
      </c>
      <c r="F98" s="170">
        <f t="shared" si="33"/>
        <v>0</v>
      </c>
      <c r="G98" s="170">
        <f t="shared" si="33"/>
        <v>0</v>
      </c>
      <c r="H98" s="170">
        <f t="shared" si="33"/>
        <v>0</v>
      </c>
      <c r="I98" s="170">
        <f t="shared" si="33"/>
        <v>0</v>
      </c>
    </row>
    <row r="99" spans="1:9">
      <c r="A99" s="73" t="str">
        <f t="shared" si="27"/>
        <v>Brinjal</v>
      </c>
      <c r="B99" s="194"/>
      <c r="C99" s="170">
        <f t="shared" ref="C99:I99" si="34">$B99*C46</f>
        <v>0</v>
      </c>
      <c r="D99" s="170">
        <f t="shared" si="34"/>
        <v>0</v>
      </c>
      <c r="E99" s="170">
        <f t="shared" si="34"/>
        <v>0</v>
      </c>
      <c r="F99" s="170">
        <f t="shared" si="34"/>
        <v>0</v>
      </c>
      <c r="G99" s="170">
        <f t="shared" si="34"/>
        <v>0</v>
      </c>
      <c r="H99" s="170">
        <f t="shared" si="34"/>
        <v>0</v>
      </c>
      <c r="I99" s="170">
        <f t="shared" si="34"/>
        <v>0</v>
      </c>
    </row>
    <row r="100" spans="1:9">
      <c r="A100" s="73">
        <f t="shared" si="27"/>
        <v>0</v>
      </c>
      <c r="B100" s="194"/>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c r="A101" s="73">
        <f t="shared" si="27"/>
        <v>0</v>
      </c>
      <c r="B101" s="194"/>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c r="A102" s="73">
        <f t="shared" si="27"/>
        <v>0</v>
      </c>
      <c r="B102" s="194"/>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c r="A103" s="73">
        <f t="shared" si="27"/>
        <v>0</v>
      </c>
      <c r="B103" s="194"/>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c r="A104" s="73">
        <f t="shared" si="27"/>
        <v>0</v>
      </c>
      <c r="B104" s="194"/>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c r="A105" s="73">
        <f t="shared" si="27"/>
        <v>0</v>
      </c>
      <c r="B105" s="194"/>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c r="A106" s="73">
        <f t="shared" si="27"/>
        <v>0</v>
      </c>
      <c r="B106" s="194"/>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c r="A107" s="73" t="str">
        <f t="shared" si="27"/>
        <v>Pomegranate</v>
      </c>
      <c r="B107" s="194"/>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c r="A108" s="73" t="str">
        <f t="shared" si="27"/>
        <v>Custard Apple</v>
      </c>
      <c r="B108" s="194"/>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c r="A109" s="73" t="str">
        <f t="shared" si="27"/>
        <v>Guava</v>
      </c>
      <c r="B109" s="194"/>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c r="A110" s="73" t="str">
        <f t="shared" si="27"/>
        <v>Citrus</v>
      </c>
      <c r="B110" s="194"/>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c r="A111" s="73"/>
      <c r="B111" s="194"/>
      <c r="C111" s="170"/>
      <c r="D111" s="170"/>
      <c r="E111" s="170"/>
      <c r="F111" s="170"/>
      <c r="G111" s="170"/>
      <c r="H111" s="170"/>
      <c r="I111" s="170"/>
    </row>
    <row r="112" spans="1:9">
      <c r="A112" s="73"/>
      <c r="B112" s="194"/>
      <c r="C112" s="170"/>
      <c r="D112" s="170"/>
      <c r="E112" s="170"/>
      <c r="F112" s="170"/>
      <c r="G112" s="170"/>
      <c r="H112" s="170"/>
      <c r="I112" s="170"/>
    </row>
    <row r="113" spans="1:23">
      <c r="A113" s="75" t="s">
        <v>696</v>
      </c>
      <c r="B113" s="73" t="s">
        <v>695</v>
      </c>
      <c r="C113" s="73"/>
      <c r="D113" s="73"/>
      <c r="E113" s="73"/>
      <c r="F113" s="73"/>
      <c r="G113" s="73"/>
      <c r="H113" s="73"/>
      <c r="I113" s="73"/>
    </row>
    <row r="114" spans="1:23">
      <c r="A114" s="73" t="s">
        <v>397</v>
      </c>
      <c r="B114" s="194">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c r="A115" s="73" t="s">
        <v>179</v>
      </c>
      <c r="B115" s="194">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c r="A116" s="73" t="s">
        <v>181</v>
      </c>
      <c r="B116" s="194">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c r="A117" s="75" t="s">
        <v>697</v>
      </c>
      <c r="B117" s="194"/>
      <c r="C117" s="73"/>
      <c r="D117" s="73"/>
      <c r="E117" s="73"/>
      <c r="F117" s="73"/>
      <c r="G117" s="73"/>
      <c r="H117" s="73"/>
      <c r="I117" s="73"/>
    </row>
    <row r="118" spans="1:23">
      <c r="A118" s="73" t="s">
        <v>184</v>
      </c>
      <c r="B118" s="194">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c r="A119" s="73" t="s">
        <v>185</v>
      </c>
      <c r="B119" s="194">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7.5">
      <c r="A122" s="411" t="s">
        <v>589</v>
      </c>
      <c r="B122" s="411"/>
      <c r="C122" s="411"/>
      <c r="D122" s="411"/>
      <c r="E122" s="411"/>
      <c r="F122" s="411"/>
      <c r="G122" s="411"/>
      <c r="H122" s="411"/>
      <c r="I122" s="411"/>
      <c r="J122" s="411"/>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153</v>
      </c>
      <c r="D126" s="96" t="s">
        <v>2</v>
      </c>
      <c r="E126" s="96" t="s">
        <v>3</v>
      </c>
      <c r="F126" s="96" t="s">
        <v>4</v>
      </c>
      <c r="G126" s="96" t="s">
        <v>5</v>
      </c>
      <c r="H126" s="96" t="s">
        <v>6</v>
      </c>
      <c r="I126" s="96" t="s">
        <v>169</v>
      </c>
      <c r="J126" s="96" t="s">
        <v>168</v>
      </c>
      <c r="K126" s="72"/>
      <c r="U126" s="72"/>
      <c r="V126" s="72"/>
      <c r="W126" s="72"/>
    </row>
    <row r="127" spans="1:23">
      <c r="A127" s="75" t="s">
        <v>700</v>
      </c>
      <c r="B127" s="73"/>
      <c r="C127" s="73"/>
      <c r="D127" s="73"/>
      <c r="E127" s="73"/>
      <c r="F127" s="73"/>
      <c r="G127" s="73"/>
      <c r="H127" s="73"/>
      <c r="I127" s="73"/>
      <c r="J127" s="73"/>
      <c r="K127" s="72"/>
      <c r="U127" s="72"/>
      <c r="V127" s="72"/>
      <c r="W127" s="72"/>
    </row>
    <row r="128" spans="1:23">
      <c r="A128" s="73" t="s">
        <v>284</v>
      </c>
      <c r="B128" s="73"/>
      <c r="C128" s="73"/>
      <c r="D128" s="73"/>
      <c r="E128" s="73"/>
      <c r="F128" s="73"/>
      <c r="G128" s="73"/>
      <c r="H128" s="73"/>
      <c r="I128" s="73"/>
      <c r="J128" s="73"/>
      <c r="K128" s="72"/>
      <c r="U128" s="72"/>
      <c r="V128" s="72"/>
      <c r="W128" s="72"/>
    </row>
    <row r="129" spans="1:23">
      <c r="A129" s="75" t="str">
        <f t="shared" ref="A129:A160" si="52">A8</f>
        <v>Kharif Crops</v>
      </c>
      <c r="B129" s="73"/>
      <c r="C129" s="73" t="s">
        <v>698</v>
      </c>
      <c r="D129" s="73"/>
      <c r="E129" s="73"/>
      <c r="F129" s="73"/>
      <c r="G129" s="73"/>
      <c r="H129" s="73"/>
      <c r="I129" s="73"/>
      <c r="J129" s="73"/>
      <c r="K129" s="72"/>
      <c r="U129" s="72"/>
      <c r="V129" s="72"/>
      <c r="W129" s="72"/>
    </row>
    <row r="130" spans="1:23">
      <c r="A130" s="73" t="str">
        <f t="shared" si="52"/>
        <v>Soybean</v>
      </c>
      <c r="B130" s="73"/>
      <c r="C130" s="194">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4">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4">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4">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4">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4">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4">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4">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4"/>
      <c r="D138" s="74"/>
      <c r="E138" s="74"/>
      <c r="F138" s="74"/>
      <c r="G138" s="74"/>
      <c r="H138" s="74"/>
      <c r="I138" s="74"/>
      <c r="J138" s="74"/>
      <c r="K138" s="72"/>
      <c r="U138" s="72"/>
      <c r="V138" s="72"/>
      <c r="W138" s="72"/>
    </row>
    <row r="139" spans="1:23">
      <c r="A139" s="73" t="str">
        <f t="shared" si="52"/>
        <v>Wheat</v>
      </c>
      <c r="B139" s="73"/>
      <c r="C139" s="214">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4">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4">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4">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4"/>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4"/>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4"/>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4"/>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4"/>
      <c r="D147" s="74"/>
      <c r="E147" s="74"/>
      <c r="F147" s="74"/>
      <c r="G147" s="74"/>
      <c r="H147" s="74"/>
      <c r="I147" s="74"/>
      <c r="J147" s="74"/>
      <c r="K147" s="72"/>
      <c r="U147" s="72"/>
      <c r="V147" s="72"/>
      <c r="W147" s="72"/>
    </row>
    <row r="148" spans="1:23">
      <c r="A148" s="73" t="str">
        <f t="shared" si="52"/>
        <v>Groundnut</v>
      </c>
      <c r="B148" s="73"/>
      <c r="C148" s="214"/>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4"/>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4"/>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4"/>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4"/>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4"/>
      <c r="D153" s="74"/>
      <c r="E153" s="74"/>
      <c r="F153" s="74"/>
      <c r="G153" s="74"/>
      <c r="H153" s="74"/>
      <c r="I153" s="74"/>
      <c r="J153" s="74"/>
      <c r="K153" s="72"/>
      <c r="U153" s="72"/>
      <c r="V153" s="72"/>
      <c r="W153" s="72"/>
    </row>
    <row r="154" spans="1:23">
      <c r="A154" s="73" t="str">
        <f t="shared" si="52"/>
        <v>Onion</v>
      </c>
      <c r="B154" s="73"/>
      <c r="C154" s="214"/>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14"/>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4"/>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4"/>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4"/>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4"/>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4"/>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4"/>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4"/>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4"/>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4"/>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4"/>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4"/>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4"/>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4"/>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4"/>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4"/>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4"/>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4"/>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4"/>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4"/>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4"/>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4"/>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4"/>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14"/>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4"/>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285</v>
      </c>
      <c r="B181" s="73"/>
      <c r="C181" s="74" t="s">
        <v>698</v>
      </c>
      <c r="D181" s="74"/>
      <c r="E181" s="74"/>
      <c r="F181" s="74"/>
      <c r="G181" s="74"/>
      <c r="H181" s="74"/>
      <c r="I181" s="74"/>
      <c r="J181" s="74"/>
      <c r="K181" s="72"/>
      <c r="U181" s="72"/>
      <c r="V181" s="72"/>
      <c r="W181" s="72"/>
    </row>
    <row r="182" spans="1:23">
      <c r="A182" s="73" t="s">
        <v>397</v>
      </c>
      <c r="B182" s="73"/>
      <c r="C182" s="214">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179</v>
      </c>
      <c r="B183" s="73"/>
      <c r="C183" s="214">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181</v>
      </c>
      <c r="B184" s="73"/>
      <c r="C184" s="214">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180</v>
      </c>
      <c r="B186" s="73"/>
      <c r="C186" s="74" t="s">
        <v>699</v>
      </c>
      <c r="D186" s="74"/>
      <c r="E186" s="74"/>
      <c r="F186" s="74"/>
      <c r="G186" s="74"/>
      <c r="H186" s="74"/>
      <c r="I186" s="74"/>
      <c r="J186" s="74"/>
      <c r="K186" s="72"/>
      <c r="U186" s="72"/>
      <c r="V186" s="72"/>
      <c r="W186" s="72"/>
    </row>
    <row r="187" spans="1:23">
      <c r="A187" s="73" t="s">
        <v>184</v>
      </c>
      <c r="B187" s="73"/>
      <c r="C187" s="214">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1"/>
      <c r="V187" s="171"/>
      <c r="W187" s="171"/>
    </row>
    <row r="188" spans="1:23">
      <c r="A188" s="73" t="s">
        <v>185</v>
      </c>
      <c r="B188" s="73"/>
      <c r="C188" s="214">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144</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143</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307</v>
      </c>
      <c r="B196" s="73"/>
      <c r="C196" s="73"/>
      <c r="D196" s="73"/>
      <c r="E196" s="73"/>
      <c r="F196" s="73"/>
      <c r="G196" s="73"/>
      <c r="H196" s="73"/>
      <c r="I196" s="73"/>
      <c r="J196" s="73"/>
      <c r="K196" s="72"/>
      <c r="U196" s="72"/>
      <c r="V196" s="72"/>
      <c r="W196" s="72"/>
    </row>
    <row r="197" spans="1:23">
      <c r="A197" s="75" t="s">
        <v>701</v>
      </c>
      <c r="B197" s="73"/>
      <c r="C197" s="73"/>
      <c r="D197" s="73"/>
      <c r="E197" s="73"/>
      <c r="F197" s="73"/>
      <c r="G197" s="73"/>
      <c r="H197" s="73"/>
      <c r="I197" s="73"/>
      <c r="J197" s="73"/>
      <c r="K197" s="72"/>
      <c r="U197" s="72"/>
      <c r="V197" s="72"/>
      <c r="W197" s="72"/>
    </row>
    <row r="198" spans="1:23">
      <c r="A198" s="317" t="str">
        <f t="shared" ref="A198:A239" si="55">A130</f>
        <v>Soybean</v>
      </c>
      <c r="B198" s="72"/>
      <c r="C198" s="318">
        <v>85</v>
      </c>
      <c r="D198" s="319">
        <f t="shared" ref="D198:J207" si="56">C62*$C198*D$124</f>
        <v>0</v>
      </c>
      <c r="E198" s="319">
        <f t="shared" si="56"/>
        <v>0</v>
      </c>
      <c r="F198" s="319">
        <f t="shared" si="56"/>
        <v>0</v>
      </c>
      <c r="G198" s="319">
        <f t="shared" si="56"/>
        <v>0</v>
      </c>
      <c r="H198" s="319">
        <f t="shared" si="56"/>
        <v>0</v>
      </c>
      <c r="I198" s="319">
        <f t="shared" si="56"/>
        <v>0</v>
      </c>
      <c r="J198" s="319">
        <f t="shared" si="56"/>
        <v>0</v>
      </c>
      <c r="K198" s="72"/>
      <c r="U198" s="72"/>
      <c r="V198" s="72"/>
      <c r="W198" s="72"/>
    </row>
    <row r="199" spans="1:23">
      <c r="A199" s="73" t="str">
        <f t="shared" si="55"/>
        <v>Red Gram/Tur</v>
      </c>
      <c r="B199" s="73"/>
      <c r="C199" s="214">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4">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4">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4">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4">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4">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4">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4"/>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4">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4">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4">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4">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4">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4"/>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4"/>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4"/>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4"/>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4"/>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4"/>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4"/>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4"/>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4"/>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4"/>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14"/>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4"/>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4"/>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4"/>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4"/>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4"/>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4"/>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4"/>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4"/>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4"/>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4"/>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4"/>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4"/>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4"/>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4"/>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4"/>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4"/>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4"/>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4"/>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4"/>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14"/>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4"/>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4">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4">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4">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4">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4">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289</v>
      </c>
      <c r="B254" s="73"/>
      <c r="C254" s="214">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172</v>
      </c>
      <c r="B255" s="73"/>
      <c r="C255" s="214">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4"/>
      <c r="D256" s="172"/>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4"/>
      <c r="D257" s="172"/>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4"/>
      <c r="D258" s="172"/>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4"/>
      <c r="D259" s="172"/>
      <c r="E259" s="74"/>
      <c r="F259" s="74"/>
      <c r="G259" s="74"/>
      <c r="H259" s="74"/>
      <c r="I259" s="74"/>
      <c r="J259" s="74"/>
      <c r="K259" s="72"/>
      <c r="L259" s="72"/>
      <c r="M259" s="72"/>
      <c r="N259" s="72"/>
      <c r="O259" s="72"/>
      <c r="P259" s="72"/>
      <c r="Q259" s="72"/>
      <c r="R259" s="72"/>
      <c r="S259" s="72"/>
      <c r="T259" s="72"/>
      <c r="U259" s="72"/>
      <c r="V259" s="72"/>
      <c r="W259" s="72"/>
    </row>
    <row r="260" spans="1:23">
      <c r="A260" s="73" t="s">
        <v>336</v>
      </c>
      <c r="B260" s="73"/>
      <c r="C260" s="74"/>
      <c r="D260" s="172"/>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337</v>
      </c>
      <c r="B261" s="73"/>
      <c r="C261" s="73"/>
      <c r="D261" s="172">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314</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306</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319</v>
      </c>
      <c r="B266" s="73">
        <v>12</v>
      </c>
      <c r="C266" s="214"/>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320</v>
      </c>
      <c r="B267" s="194">
        <v>1</v>
      </c>
      <c r="C267" s="214"/>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191</v>
      </c>
      <c r="B268" s="194">
        <v>1</v>
      </c>
      <c r="C268" s="214"/>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321</v>
      </c>
      <c r="B269" s="73">
        <v>12</v>
      </c>
      <c r="C269" s="214"/>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4"/>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4"/>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4"/>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4"/>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318</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3"/>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3"/>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410" t="s">
        <v>410</v>
      </c>
      <c r="B280" s="410"/>
      <c r="C280" s="410"/>
      <c r="D280" s="410"/>
      <c r="E280" s="410"/>
      <c r="F280" s="410"/>
      <c r="G280" s="410"/>
      <c r="H280" s="410"/>
      <c r="I280" s="410"/>
      <c r="J280" s="410"/>
    </row>
    <row r="282" spans="1:23">
      <c r="A282" t="s">
        <v>530</v>
      </c>
    </row>
    <row r="283" spans="1:23">
      <c r="A283">
        <v>1</v>
      </c>
      <c r="B283" t="s">
        <v>543</v>
      </c>
    </row>
    <row r="284" spans="1:23">
      <c r="A284">
        <v>2</v>
      </c>
      <c r="B284" t="s">
        <v>544</v>
      </c>
    </row>
    <row r="285" spans="1:23">
      <c r="A285">
        <v>3</v>
      </c>
      <c r="B285" s="72" t="s">
        <v>595</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47" zoomScale="80" zoomScaleSheetLayoutView="80" workbookViewId="0">
      <selection activeCell="C158" sqref="C158"/>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11" t="s">
        <v>590</v>
      </c>
      <c r="B3" s="411"/>
      <c r="C3" s="411"/>
      <c r="D3" s="411"/>
      <c r="E3" s="411"/>
      <c r="F3" s="411"/>
      <c r="G3" s="411"/>
      <c r="H3" s="411"/>
    </row>
    <row r="4" spans="1:8" ht="17.5">
      <c r="A4" s="411" t="s">
        <v>591</v>
      </c>
      <c r="B4" s="411"/>
      <c r="C4" s="411"/>
      <c r="D4" s="411"/>
      <c r="E4" s="411"/>
      <c r="F4" s="411"/>
      <c r="G4" s="411"/>
      <c r="H4" s="411"/>
    </row>
    <row r="5" spans="1:8">
      <c r="A5" s="72" t="s">
        <v>161</v>
      </c>
      <c r="B5" s="207">
        <v>1</v>
      </c>
      <c r="C5" s="72" t="s">
        <v>460</v>
      </c>
      <c r="D5" s="72"/>
      <c r="E5" s="72"/>
      <c r="F5" s="72"/>
      <c r="G5" s="72"/>
      <c r="H5" s="72"/>
    </row>
    <row r="6" spans="1:8">
      <c r="A6" s="72" t="s">
        <v>162</v>
      </c>
      <c r="B6" s="232">
        <v>8</v>
      </c>
      <c r="C6" s="72"/>
      <c r="D6" s="72"/>
      <c r="E6" s="72"/>
      <c r="F6" s="72"/>
      <c r="G6" s="72"/>
      <c r="H6" s="72"/>
    </row>
    <row r="7" spans="1:8">
      <c r="A7" s="72"/>
      <c r="B7" s="232"/>
      <c r="C7" s="72"/>
      <c r="D7" s="72"/>
      <c r="E7" s="72"/>
      <c r="F7" s="72"/>
      <c r="G7" s="72"/>
      <c r="H7" s="72"/>
    </row>
    <row r="8" spans="1:8">
      <c r="A8" s="72"/>
      <c r="B8" s="232"/>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7">
        <f t="shared" ref="B12:H12" si="0">B39/($B$5*$B$6)</f>
        <v>0</v>
      </c>
      <c r="C12" s="257">
        <f t="shared" si="0"/>
        <v>0</v>
      </c>
      <c r="D12" s="257">
        <f t="shared" si="0"/>
        <v>0</v>
      </c>
      <c r="E12" s="257">
        <f t="shared" si="0"/>
        <v>0</v>
      </c>
      <c r="F12" s="257">
        <f t="shared" si="0"/>
        <v>0</v>
      </c>
      <c r="G12" s="257">
        <f t="shared" si="0"/>
        <v>0</v>
      </c>
      <c r="H12" s="257">
        <f t="shared" si="0"/>
        <v>0</v>
      </c>
    </row>
    <row r="13" spans="1:8">
      <c r="A13" s="73" t="str">
        <f>'11.F&amp;V Crop Production details'!A74</f>
        <v>Onion</v>
      </c>
      <c r="B13" s="73">
        <f>'11.F&amp;V Crop Production details'!B74</f>
        <v>0</v>
      </c>
      <c r="C13" s="73">
        <f>'11.F&amp;V Crop Production details'!C74</f>
        <v>0</v>
      </c>
      <c r="D13" s="73">
        <f>'11.F&amp;V Crop Production details'!D74</f>
        <v>0</v>
      </c>
      <c r="E13" s="73">
        <f>'11.F&amp;V Crop Production details'!E74</f>
        <v>0</v>
      </c>
      <c r="F13" s="73">
        <f>'11.F&amp;V Crop Production details'!F74</f>
        <v>0</v>
      </c>
      <c r="G13" s="73">
        <f>'11.F&amp;V Crop Production details'!G74</f>
        <v>0</v>
      </c>
      <c r="H13" s="73">
        <f>'11.F&amp;V Crop Production details'!H74</f>
        <v>0</v>
      </c>
    </row>
    <row r="14" spans="1:8">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451</v>
      </c>
      <c r="B39" s="73">
        <f>SUM(B13:B37)</f>
        <v>0</v>
      </c>
      <c r="C39" s="73">
        <f t="shared" ref="C39:H39" si="1">SUM(C13:C37)</f>
        <v>0</v>
      </c>
      <c r="D39" s="73">
        <f t="shared" si="1"/>
        <v>0</v>
      </c>
      <c r="E39" s="73">
        <f t="shared" si="1"/>
        <v>0</v>
      </c>
      <c r="F39" s="73">
        <f t="shared" si="1"/>
        <v>0</v>
      </c>
      <c r="G39" s="73">
        <f t="shared" si="1"/>
        <v>0</v>
      </c>
      <c r="H39" s="73">
        <f t="shared" si="1"/>
        <v>0</v>
      </c>
    </row>
    <row r="40" spans="1:8">
      <c r="A40" s="262" t="s">
        <v>165</v>
      </c>
      <c r="B40" s="233">
        <v>0</v>
      </c>
      <c r="C40" s="233">
        <f>B40</f>
        <v>0</v>
      </c>
      <c r="D40" s="233">
        <f t="shared" ref="D40:H40" si="2">C40</f>
        <v>0</v>
      </c>
      <c r="E40" s="233">
        <f t="shared" si="2"/>
        <v>0</v>
      </c>
      <c r="F40" s="233">
        <f t="shared" si="2"/>
        <v>0</v>
      </c>
      <c r="G40" s="233">
        <f t="shared" si="2"/>
        <v>0</v>
      </c>
      <c r="H40" s="233">
        <f t="shared" si="2"/>
        <v>0</v>
      </c>
    </row>
    <row r="41" spans="1:8">
      <c r="A41" s="73" t="s">
        <v>461</v>
      </c>
      <c r="B41" s="160">
        <f>1-B40</f>
        <v>1</v>
      </c>
      <c r="C41" s="160">
        <f t="shared" ref="C41:H41" si="3">1-C40</f>
        <v>1</v>
      </c>
      <c r="D41" s="160">
        <f t="shared" si="3"/>
        <v>1</v>
      </c>
      <c r="E41" s="160">
        <f t="shared" si="3"/>
        <v>1</v>
      </c>
      <c r="F41" s="160">
        <f t="shared" si="3"/>
        <v>1</v>
      </c>
      <c r="G41" s="160">
        <f t="shared" si="3"/>
        <v>1</v>
      </c>
      <c r="H41" s="160">
        <f t="shared" si="3"/>
        <v>1</v>
      </c>
    </row>
    <row r="42" spans="1:8">
      <c r="A42" s="75" t="s">
        <v>165</v>
      </c>
      <c r="B42" s="218">
        <f>B39*B40</f>
        <v>0</v>
      </c>
      <c r="C42" s="218">
        <f t="shared" ref="C42:H42" si="4">C39*C40</f>
        <v>0</v>
      </c>
      <c r="D42" s="218">
        <f t="shared" si="4"/>
        <v>0</v>
      </c>
      <c r="E42" s="218">
        <f t="shared" si="4"/>
        <v>0</v>
      </c>
      <c r="F42" s="218">
        <f t="shared" si="4"/>
        <v>0</v>
      </c>
      <c r="G42" s="218">
        <f t="shared" si="4"/>
        <v>0</v>
      </c>
      <c r="H42" s="218">
        <f t="shared" si="4"/>
        <v>0</v>
      </c>
    </row>
    <row r="43" spans="1:8">
      <c r="A43" s="75" t="s">
        <v>166</v>
      </c>
      <c r="B43" s="91"/>
      <c r="C43" s="91"/>
      <c r="D43" s="91"/>
      <c r="E43" s="91"/>
      <c r="F43" s="91"/>
      <c r="G43" s="91"/>
      <c r="H43" s="91"/>
    </row>
    <row r="44" spans="1:8">
      <c r="A44" s="73" t="str">
        <f t="shared" ref="A44:A61" si="5">A13</f>
        <v>Onion</v>
      </c>
      <c r="B44" s="74">
        <f t="shared" ref="B44:B61" si="6">B13*$B$41</f>
        <v>0</v>
      </c>
      <c r="C44" s="74">
        <f t="shared" ref="C44:C61" si="7">C13*$C$41</f>
        <v>0</v>
      </c>
      <c r="D44" s="74">
        <f t="shared" ref="D44:D61" si="8">D13*$D$41</f>
        <v>0</v>
      </c>
      <c r="E44" s="74">
        <f t="shared" ref="E44:E61" si="9">E13*$E$41</f>
        <v>0</v>
      </c>
      <c r="F44" s="74">
        <f t="shared" ref="F44:F61" si="10">F13*$F$41</f>
        <v>0</v>
      </c>
      <c r="G44" s="74">
        <f t="shared" ref="G44:G61" si="11">G13*$G$41</f>
        <v>0</v>
      </c>
      <c r="H44" s="74">
        <f t="shared" ref="H44:H61" si="12">H13*$H$41</f>
        <v>0</v>
      </c>
    </row>
    <row r="45" spans="1:8">
      <c r="A45" s="73" t="str">
        <f t="shared" si="5"/>
        <v>Tomato</v>
      </c>
      <c r="B45" s="74">
        <f t="shared" si="6"/>
        <v>0</v>
      </c>
      <c r="C45" s="74">
        <f t="shared" si="7"/>
        <v>0</v>
      </c>
      <c r="D45" s="74">
        <f t="shared" si="8"/>
        <v>0</v>
      </c>
      <c r="E45" s="74">
        <f t="shared" si="9"/>
        <v>0</v>
      </c>
      <c r="F45" s="74">
        <f t="shared" si="10"/>
        <v>0</v>
      </c>
      <c r="G45" s="74">
        <f t="shared" si="11"/>
        <v>0</v>
      </c>
      <c r="H45" s="74">
        <f t="shared" si="12"/>
        <v>0</v>
      </c>
    </row>
    <row r="46" spans="1:8">
      <c r="A46" s="73" t="str">
        <f t="shared" si="5"/>
        <v>Okra</v>
      </c>
      <c r="B46" s="74">
        <f t="shared" si="6"/>
        <v>0</v>
      </c>
      <c r="C46" s="74">
        <f t="shared" si="7"/>
        <v>0</v>
      </c>
      <c r="D46" s="74">
        <f t="shared" si="8"/>
        <v>0</v>
      </c>
      <c r="E46" s="74">
        <f t="shared" si="9"/>
        <v>0</v>
      </c>
      <c r="F46" s="74">
        <f t="shared" si="10"/>
        <v>0</v>
      </c>
      <c r="G46" s="74">
        <f t="shared" si="11"/>
        <v>0</v>
      </c>
      <c r="H46" s="74">
        <f t="shared" si="12"/>
        <v>0</v>
      </c>
    </row>
    <row r="47" spans="1:8">
      <c r="A47" s="73" t="str">
        <f t="shared" si="5"/>
        <v>Chilli</v>
      </c>
      <c r="B47" s="74">
        <f t="shared" si="6"/>
        <v>0</v>
      </c>
      <c r="C47" s="74">
        <f t="shared" si="7"/>
        <v>0</v>
      </c>
      <c r="D47" s="74">
        <f t="shared" si="8"/>
        <v>0</v>
      </c>
      <c r="E47" s="74">
        <f t="shared" si="9"/>
        <v>0</v>
      </c>
      <c r="F47" s="74">
        <f t="shared" si="10"/>
        <v>0</v>
      </c>
      <c r="G47" s="74">
        <f t="shared" si="11"/>
        <v>0</v>
      </c>
      <c r="H47" s="74">
        <f t="shared" si="12"/>
        <v>0</v>
      </c>
    </row>
    <row r="48" spans="1:8">
      <c r="A48" s="73" t="str">
        <f t="shared" si="5"/>
        <v>Potato</v>
      </c>
      <c r="B48" s="74">
        <f t="shared" si="6"/>
        <v>0</v>
      </c>
      <c r="C48" s="74">
        <f t="shared" si="7"/>
        <v>0</v>
      </c>
      <c r="D48" s="74">
        <f t="shared" si="8"/>
        <v>0</v>
      </c>
      <c r="E48" s="74">
        <f t="shared" si="9"/>
        <v>0</v>
      </c>
      <c r="F48" s="74">
        <f t="shared" si="10"/>
        <v>0</v>
      </c>
      <c r="G48" s="74">
        <f t="shared" si="11"/>
        <v>0</v>
      </c>
      <c r="H48" s="74">
        <f t="shared" si="12"/>
        <v>0</v>
      </c>
    </row>
    <row r="49" spans="1:8">
      <c r="A49" s="73">
        <f t="shared" si="5"/>
        <v>0</v>
      </c>
      <c r="B49" s="74">
        <f t="shared" si="6"/>
        <v>0</v>
      </c>
      <c r="C49" s="74">
        <f t="shared" si="7"/>
        <v>0</v>
      </c>
      <c r="D49" s="74">
        <f t="shared" si="8"/>
        <v>0</v>
      </c>
      <c r="E49" s="74">
        <f t="shared" si="9"/>
        <v>0</v>
      </c>
      <c r="F49" s="74">
        <f t="shared" si="10"/>
        <v>0</v>
      </c>
      <c r="G49" s="74">
        <f t="shared" si="11"/>
        <v>0</v>
      </c>
      <c r="H49" s="74">
        <f t="shared" si="12"/>
        <v>0</v>
      </c>
    </row>
    <row r="50" spans="1:8">
      <c r="A50" s="73">
        <f t="shared" si="5"/>
        <v>0</v>
      </c>
      <c r="B50" s="74">
        <f t="shared" si="6"/>
        <v>0</v>
      </c>
      <c r="C50" s="74">
        <f t="shared" si="7"/>
        <v>0</v>
      </c>
      <c r="D50" s="74">
        <f t="shared" si="8"/>
        <v>0</v>
      </c>
      <c r="E50" s="74">
        <f t="shared" si="9"/>
        <v>0</v>
      </c>
      <c r="F50" s="74">
        <f t="shared" si="10"/>
        <v>0</v>
      </c>
      <c r="G50" s="74">
        <f t="shared" si="11"/>
        <v>0</v>
      </c>
      <c r="H50" s="74">
        <f t="shared" si="12"/>
        <v>0</v>
      </c>
    </row>
    <row r="51" spans="1:8">
      <c r="A51" s="73">
        <f t="shared" si="5"/>
        <v>0</v>
      </c>
      <c r="B51" s="74">
        <f t="shared" si="6"/>
        <v>0</v>
      </c>
      <c r="C51" s="74">
        <f t="shared" si="7"/>
        <v>0</v>
      </c>
      <c r="D51" s="74">
        <f t="shared" si="8"/>
        <v>0</v>
      </c>
      <c r="E51" s="74">
        <f t="shared" si="9"/>
        <v>0</v>
      </c>
      <c r="F51" s="74">
        <f t="shared" si="10"/>
        <v>0</v>
      </c>
      <c r="G51" s="74">
        <f t="shared" si="11"/>
        <v>0</v>
      </c>
      <c r="H51" s="74">
        <f t="shared" si="12"/>
        <v>0</v>
      </c>
    </row>
    <row r="52" spans="1:8">
      <c r="A52" s="73">
        <f t="shared" si="5"/>
        <v>0</v>
      </c>
      <c r="B52" s="74">
        <f t="shared" si="6"/>
        <v>0</v>
      </c>
      <c r="C52" s="74">
        <f t="shared" si="7"/>
        <v>0</v>
      </c>
      <c r="D52" s="74">
        <f t="shared" si="8"/>
        <v>0</v>
      </c>
      <c r="E52" s="74">
        <f t="shared" si="9"/>
        <v>0</v>
      </c>
      <c r="F52" s="74">
        <f t="shared" si="10"/>
        <v>0</v>
      </c>
      <c r="G52" s="74">
        <f t="shared" si="11"/>
        <v>0</v>
      </c>
      <c r="H52" s="74">
        <f t="shared" si="12"/>
        <v>0</v>
      </c>
    </row>
    <row r="53" spans="1:8">
      <c r="A53" s="73" t="str">
        <f t="shared" si="5"/>
        <v>Onion</v>
      </c>
      <c r="B53" s="74">
        <f t="shared" si="6"/>
        <v>0</v>
      </c>
      <c r="C53" s="74">
        <f t="shared" si="7"/>
        <v>0</v>
      </c>
      <c r="D53" s="74">
        <f t="shared" si="8"/>
        <v>0</v>
      </c>
      <c r="E53" s="74">
        <f t="shared" si="9"/>
        <v>0</v>
      </c>
      <c r="F53" s="74">
        <f t="shared" si="10"/>
        <v>0</v>
      </c>
      <c r="G53" s="74">
        <f t="shared" si="11"/>
        <v>0</v>
      </c>
      <c r="H53" s="74">
        <f t="shared" si="12"/>
        <v>0</v>
      </c>
    </row>
    <row r="54" spans="1:8">
      <c r="A54" s="73" t="str">
        <f t="shared" si="5"/>
        <v>Tomato</v>
      </c>
      <c r="B54" s="74">
        <f t="shared" si="6"/>
        <v>0</v>
      </c>
      <c r="C54" s="74">
        <f t="shared" si="7"/>
        <v>0</v>
      </c>
      <c r="D54" s="74">
        <f t="shared" si="8"/>
        <v>0</v>
      </c>
      <c r="E54" s="74">
        <f t="shared" si="9"/>
        <v>0</v>
      </c>
      <c r="F54" s="74">
        <f t="shared" si="10"/>
        <v>0</v>
      </c>
      <c r="G54" s="74">
        <f t="shared" si="11"/>
        <v>0</v>
      </c>
      <c r="H54" s="74">
        <f t="shared" si="12"/>
        <v>0</v>
      </c>
    </row>
    <row r="55" spans="1:8">
      <c r="A55" s="73" t="str">
        <f t="shared" si="5"/>
        <v>Okra</v>
      </c>
      <c r="B55" s="74">
        <f t="shared" si="6"/>
        <v>0</v>
      </c>
      <c r="C55" s="74">
        <f t="shared" si="7"/>
        <v>0</v>
      </c>
      <c r="D55" s="74">
        <f t="shared" si="8"/>
        <v>0</v>
      </c>
      <c r="E55" s="74">
        <f t="shared" si="9"/>
        <v>0</v>
      </c>
      <c r="F55" s="74">
        <f t="shared" si="10"/>
        <v>0</v>
      </c>
      <c r="G55" s="74">
        <f t="shared" si="11"/>
        <v>0</v>
      </c>
      <c r="H55" s="74">
        <f t="shared" si="12"/>
        <v>0</v>
      </c>
    </row>
    <row r="56" spans="1:8">
      <c r="A56" s="73" t="str">
        <f t="shared" si="5"/>
        <v>Chilli</v>
      </c>
      <c r="B56" s="74">
        <f t="shared" si="6"/>
        <v>0</v>
      </c>
      <c r="C56" s="74">
        <f t="shared" si="7"/>
        <v>0</v>
      </c>
      <c r="D56" s="74">
        <f t="shared" si="8"/>
        <v>0</v>
      </c>
      <c r="E56" s="74">
        <f t="shared" si="9"/>
        <v>0</v>
      </c>
      <c r="F56" s="74">
        <f t="shared" si="10"/>
        <v>0</v>
      </c>
      <c r="G56" s="74">
        <f t="shared" si="11"/>
        <v>0</v>
      </c>
      <c r="H56" s="74">
        <f t="shared" si="12"/>
        <v>0</v>
      </c>
    </row>
    <row r="57" spans="1:8">
      <c r="A57" s="73" t="str">
        <f t="shared" si="5"/>
        <v>Brinjal</v>
      </c>
      <c r="B57" s="74">
        <f t="shared" si="6"/>
        <v>0</v>
      </c>
      <c r="C57" s="74">
        <f t="shared" si="7"/>
        <v>0</v>
      </c>
      <c r="D57" s="74">
        <f t="shared" si="8"/>
        <v>0</v>
      </c>
      <c r="E57" s="74">
        <f t="shared" si="9"/>
        <v>0</v>
      </c>
      <c r="F57" s="74">
        <f t="shared" si="10"/>
        <v>0</v>
      </c>
      <c r="G57" s="74">
        <f t="shared" si="11"/>
        <v>0</v>
      </c>
      <c r="H57" s="74">
        <f t="shared" si="12"/>
        <v>0</v>
      </c>
    </row>
    <row r="58" spans="1:8">
      <c r="A58" s="73">
        <f t="shared" si="5"/>
        <v>0</v>
      </c>
      <c r="B58" s="74">
        <f t="shared" si="6"/>
        <v>0</v>
      </c>
      <c r="C58" s="74">
        <f t="shared" si="7"/>
        <v>0</v>
      </c>
      <c r="D58" s="74">
        <f t="shared" si="8"/>
        <v>0</v>
      </c>
      <c r="E58" s="74">
        <f t="shared" si="9"/>
        <v>0</v>
      </c>
      <c r="F58" s="74">
        <f t="shared" si="10"/>
        <v>0</v>
      </c>
      <c r="G58" s="74">
        <f t="shared" si="11"/>
        <v>0</v>
      </c>
      <c r="H58" s="74">
        <f t="shared" si="12"/>
        <v>0</v>
      </c>
    </row>
    <row r="59" spans="1:8">
      <c r="A59" s="73">
        <f t="shared" si="5"/>
        <v>0</v>
      </c>
      <c r="B59" s="74">
        <f t="shared" si="6"/>
        <v>0</v>
      </c>
      <c r="C59" s="74">
        <f t="shared" si="7"/>
        <v>0</v>
      </c>
      <c r="D59" s="74">
        <f t="shared" si="8"/>
        <v>0</v>
      </c>
      <c r="E59" s="74">
        <f t="shared" si="9"/>
        <v>0</v>
      </c>
      <c r="F59" s="74">
        <f t="shared" si="10"/>
        <v>0</v>
      </c>
      <c r="G59" s="74">
        <f t="shared" si="11"/>
        <v>0</v>
      </c>
      <c r="H59" s="74">
        <f t="shared" si="12"/>
        <v>0</v>
      </c>
    </row>
    <row r="60" spans="1:8">
      <c r="A60" s="73">
        <f t="shared" si="5"/>
        <v>0</v>
      </c>
      <c r="B60" s="74">
        <f t="shared" si="6"/>
        <v>0</v>
      </c>
      <c r="C60" s="74">
        <f t="shared" si="7"/>
        <v>0</v>
      </c>
      <c r="D60" s="74">
        <f t="shared" si="8"/>
        <v>0</v>
      </c>
      <c r="E60" s="74">
        <f t="shared" si="9"/>
        <v>0</v>
      </c>
      <c r="F60" s="74">
        <f t="shared" si="10"/>
        <v>0</v>
      </c>
      <c r="G60" s="74">
        <f t="shared" si="11"/>
        <v>0</v>
      </c>
      <c r="H60" s="74">
        <f t="shared" si="12"/>
        <v>0</v>
      </c>
    </row>
    <row r="61" spans="1:8">
      <c r="A61" s="73">
        <f t="shared" si="5"/>
        <v>0</v>
      </c>
      <c r="B61" s="74">
        <f t="shared" si="6"/>
        <v>0</v>
      </c>
      <c r="C61" s="74">
        <f t="shared" si="7"/>
        <v>0</v>
      </c>
      <c r="D61" s="74">
        <f t="shared" si="8"/>
        <v>0</v>
      </c>
      <c r="E61" s="74">
        <f t="shared" si="9"/>
        <v>0</v>
      </c>
      <c r="F61" s="74">
        <f t="shared" si="10"/>
        <v>0</v>
      </c>
      <c r="G61" s="74">
        <f t="shared" si="11"/>
        <v>0</v>
      </c>
      <c r="H61" s="74">
        <f t="shared" si="12"/>
        <v>0</v>
      </c>
    </row>
    <row r="62" spans="1:8">
      <c r="A62" s="73" t="str">
        <f t="shared" ref="A62" si="13">A34</f>
        <v>Pomegranate</v>
      </c>
      <c r="B62" s="74">
        <f>B34*$B$41</f>
        <v>0</v>
      </c>
      <c r="C62" s="74">
        <f t="shared" ref="C62:H62" si="14">C34*$B$41</f>
        <v>0</v>
      </c>
      <c r="D62" s="74">
        <f t="shared" si="14"/>
        <v>0</v>
      </c>
      <c r="E62" s="74">
        <f t="shared" si="14"/>
        <v>0</v>
      </c>
      <c r="F62" s="74">
        <f t="shared" si="14"/>
        <v>0</v>
      </c>
      <c r="G62" s="74">
        <f t="shared" si="14"/>
        <v>0</v>
      </c>
      <c r="H62" s="74">
        <f t="shared" si="14"/>
        <v>0</v>
      </c>
    </row>
    <row r="63" spans="1:8">
      <c r="A63" s="73" t="str">
        <f>A35</f>
        <v>Custard Apple</v>
      </c>
      <c r="B63" s="74">
        <f t="shared" ref="B63:H63" si="15">B35*$B$41</f>
        <v>0</v>
      </c>
      <c r="C63" s="74">
        <f t="shared" si="15"/>
        <v>0</v>
      </c>
      <c r="D63" s="74">
        <f t="shared" si="15"/>
        <v>0</v>
      </c>
      <c r="E63" s="74">
        <f t="shared" si="15"/>
        <v>0</v>
      </c>
      <c r="F63" s="74">
        <f t="shared" si="15"/>
        <v>0</v>
      </c>
      <c r="G63" s="74">
        <f t="shared" si="15"/>
        <v>0</v>
      </c>
      <c r="H63" s="74">
        <f t="shared" si="15"/>
        <v>0</v>
      </c>
    </row>
    <row r="64" spans="1:8">
      <c r="A64" s="73" t="str">
        <f>A36</f>
        <v>Guava</v>
      </c>
      <c r="B64" s="74">
        <f t="shared" ref="B64:H65" si="16">B36*$B$41</f>
        <v>0</v>
      </c>
      <c r="C64" s="74">
        <f t="shared" si="16"/>
        <v>0</v>
      </c>
      <c r="D64" s="74">
        <f t="shared" si="16"/>
        <v>0</v>
      </c>
      <c r="E64" s="74">
        <f t="shared" si="16"/>
        <v>0</v>
      </c>
      <c r="F64" s="74">
        <f t="shared" si="16"/>
        <v>0</v>
      </c>
      <c r="G64" s="74">
        <f t="shared" si="16"/>
        <v>0</v>
      </c>
      <c r="H64" s="74">
        <f t="shared" si="16"/>
        <v>0</v>
      </c>
    </row>
    <row r="65" spans="1:8">
      <c r="A65" s="73" t="str">
        <f>A37</f>
        <v>Citrus</v>
      </c>
      <c r="B65" s="74">
        <f t="shared" si="16"/>
        <v>0</v>
      </c>
      <c r="C65" s="74">
        <f t="shared" si="16"/>
        <v>0</v>
      </c>
      <c r="D65" s="74">
        <f t="shared" si="16"/>
        <v>0</v>
      </c>
      <c r="E65" s="74">
        <f t="shared" si="16"/>
        <v>0</v>
      </c>
      <c r="F65" s="74">
        <f t="shared" si="16"/>
        <v>0</v>
      </c>
      <c r="G65" s="74">
        <f t="shared" si="16"/>
        <v>0</v>
      </c>
      <c r="H65" s="74">
        <f t="shared" si="16"/>
        <v>0</v>
      </c>
    </row>
    <row r="66" spans="1:8">
      <c r="A66" s="75" t="s">
        <v>283</v>
      </c>
      <c r="B66" s="73"/>
      <c r="C66" s="73"/>
      <c r="D66" s="73"/>
      <c r="E66" s="73"/>
      <c r="F66" s="73"/>
      <c r="G66" s="73"/>
      <c r="H66" s="73"/>
    </row>
    <row r="67" spans="1:8">
      <c r="A67" s="73" t="str">
        <f>A44</f>
        <v>Onion</v>
      </c>
      <c r="B67" s="161"/>
      <c r="C67" s="161"/>
      <c r="D67" s="161"/>
      <c r="E67" s="161"/>
      <c r="F67" s="161"/>
      <c r="G67" s="161"/>
      <c r="H67" s="161"/>
    </row>
    <row r="68" spans="1:8">
      <c r="A68" s="73"/>
      <c r="B68" s="161"/>
      <c r="C68" s="161"/>
      <c r="D68" s="161"/>
      <c r="E68" s="161"/>
      <c r="F68" s="161"/>
      <c r="G68" s="161"/>
      <c r="H68" s="161"/>
    </row>
    <row r="69" spans="1:8">
      <c r="A69" s="73"/>
      <c r="B69" s="161"/>
      <c r="C69" s="161"/>
      <c r="D69" s="161"/>
      <c r="E69" s="161"/>
      <c r="F69" s="161"/>
      <c r="G69" s="161"/>
      <c r="H69" s="161"/>
    </row>
    <row r="70" spans="1:8">
      <c r="A70" s="73"/>
      <c r="B70" s="161"/>
      <c r="C70" s="161"/>
      <c r="D70" s="161"/>
      <c r="E70" s="161"/>
      <c r="F70" s="161"/>
      <c r="G70" s="161"/>
      <c r="H70" s="161"/>
    </row>
    <row r="71" spans="1:8">
      <c r="A71" s="73" t="str">
        <f>A45</f>
        <v>Tomato</v>
      </c>
      <c r="B71" s="74"/>
      <c r="C71" s="74"/>
      <c r="D71" s="74"/>
      <c r="E71" s="74"/>
      <c r="F71" s="74"/>
      <c r="G71" s="74"/>
      <c r="H71" s="74"/>
    </row>
    <row r="72" spans="1:8">
      <c r="A72" s="73"/>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t="str">
        <f>A46</f>
        <v>Okra</v>
      </c>
      <c r="B75" s="74"/>
      <c r="C75" s="74"/>
      <c r="D75" s="74"/>
      <c r="E75" s="74"/>
      <c r="F75" s="74"/>
      <c r="G75" s="74"/>
      <c r="H75" s="74"/>
    </row>
    <row r="76" spans="1:8">
      <c r="A76" s="73"/>
      <c r="B76" s="74"/>
      <c r="C76" s="74"/>
      <c r="D76" s="74"/>
      <c r="E76" s="74"/>
      <c r="F76" s="74"/>
      <c r="G76" s="74"/>
      <c r="H76" s="74"/>
    </row>
    <row r="77" spans="1:8">
      <c r="A77" s="73"/>
      <c r="B77" s="74"/>
      <c r="C77" s="74"/>
      <c r="D77" s="74"/>
      <c r="E77" s="74"/>
      <c r="F77" s="74"/>
      <c r="G77" s="74"/>
      <c r="H77" s="74"/>
    </row>
    <row r="78" spans="1:8">
      <c r="A78" s="73"/>
      <c r="B78" s="74"/>
      <c r="C78" s="74"/>
      <c r="D78" s="74"/>
      <c r="E78" s="74"/>
      <c r="F78" s="74"/>
      <c r="G78" s="74"/>
      <c r="H78" s="74"/>
    </row>
    <row r="79" spans="1:8">
      <c r="A79" s="73" t="str">
        <f>A47</f>
        <v>Chilli</v>
      </c>
      <c r="B79" s="74"/>
      <c r="C79" s="74"/>
      <c r="D79" s="74"/>
      <c r="E79" s="74"/>
      <c r="F79" s="74"/>
      <c r="G79" s="74"/>
      <c r="H79" s="74"/>
    </row>
    <row r="80" spans="1:8">
      <c r="A80" s="73"/>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A48</f>
        <v>Potato</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f>A49</f>
        <v>0</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f>A50</f>
        <v>0</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f>A51</f>
        <v>0</v>
      </c>
      <c r="B94" s="74"/>
      <c r="C94" s="74"/>
      <c r="D94" s="74"/>
      <c r="E94" s="74"/>
      <c r="F94" s="74"/>
      <c r="G94" s="74"/>
      <c r="H94" s="74"/>
    </row>
    <row r="95" spans="1:8">
      <c r="A95" s="73"/>
      <c r="B95" s="74"/>
      <c r="C95" s="74"/>
      <c r="D95" s="74"/>
      <c r="E95" s="74"/>
      <c r="F95" s="74"/>
      <c r="G95" s="74"/>
      <c r="H95" s="74"/>
    </row>
    <row r="96" spans="1:8">
      <c r="A96" s="73"/>
      <c r="B96" s="74"/>
      <c r="C96" s="74"/>
      <c r="D96" s="74"/>
      <c r="E96" s="74"/>
      <c r="F96" s="74"/>
      <c r="G96" s="74"/>
      <c r="H96" s="74"/>
    </row>
    <row r="97" spans="1:8">
      <c r="A97" s="73"/>
      <c r="B97" s="74"/>
      <c r="C97" s="74"/>
      <c r="D97" s="74"/>
      <c r="E97" s="74"/>
      <c r="F97" s="74"/>
      <c r="G97" s="74"/>
      <c r="H97" s="74"/>
    </row>
    <row r="98" spans="1:8">
      <c r="A98" s="73">
        <f>A52</f>
        <v>0</v>
      </c>
      <c r="B98" s="74"/>
      <c r="C98" s="74"/>
      <c r="D98" s="74"/>
      <c r="E98" s="74"/>
      <c r="F98" s="74"/>
      <c r="G98" s="74"/>
      <c r="H98" s="74"/>
    </row>
    <row r="99" spans="1:8">
      <c r="A99" s="73"/>
      <c r="B99" s="74"/>
      <c r="C99" s="74"/>
      <c r="D99" s="74"/>
      <c r="E99" s="74"/>
      <c r="F99" s="74"/>
      <c r="G99" s="74"/>
      <c r="H99" s="74"/>
    </row>
    <row r="100" spans="1:8">
      <c r="A100" s="73"/>
      <c r="B100" s="74"/>
      <c r="C100" s="74"/>
      <c r="D100" s="74"/>
      <c r="E100" s="74"/>
      <c r="F100" s="74"/>
      <c r="G100" s="74"/>
      <c r="H100" s="74"/>
    </row>
    <row r="101" spans="1:8">
      <c r="A101" s="73"/>
      <c r="B101" s="74"/>
      <c r="C101" s="74"/>
      <c r="D101" s="74"/>
      <c r="E101" s="74"/>
      <c r="F101" s="74"/>
      <c r="G101" s="74"/>
      <c r="H101" s="74"/>
    </row>
    <row r="102" spans="1:8">
      <c r="A102" s="73" t="str">
        <f>A53</f>
        <v>Onion</v>
      </c>
      <c r="B102" s="74"/>
      <c r="C102" s="74"/>
      <c r="D102" s="74"/>
      <c r="E102" s="74"/>
      <c r="F102" s="74"/>
      <c r="G102" s="74"/>
      <c r="H102" s="74"/>
    </row>
    <row r="103" spans="1:8">
      <c r="A103" s="73"/>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t="str">
        <f>A54</f>
        <v>Tomato</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c r="B109" s="74"/>
      <c r="C109" s="74"/>
      <c r="D109" s="74"/>
      <c r="E109" s="74"/>
      <c r="F109" s="74"/>
      <c r="G109" s="74"/>
      <c r="H109" s="74"/>
    </row>
    <row r="110" spans="1:8">
      <c r="A110" s="73" t="str">
        <f>A55</f>
        <v>Okra</v>
      </c>
      <c r="B110" s="74"/>
      <c r="C110" s="74"/>
      <c r="D110" s="74"/>
      <c r="E110" s="74"/>
      <c r="F110" s="74"/>
      <c r="G110" s="74"/>
      <c r="H110" s="74"/>
    </row>
    <row r="111" spans="1:8">
      <c r="A111" s="73"/>
      <c r="B111" s="74"/>
      <c r="C111" s="74"/>
      <c r="D111" s="74"/>
      <c r="E111" s="74"/>
      <c r="F111" s="74"/>
      <c r="G111" s="74"/>
      <c r="H111" s="74"/>
    </row>
    <row r="112" spans="1:8">
      <c r="A112" s="73"/>
      <c r="B112" s="74"/>
      <c r="C112" s="74"/>
      <c r="D112" s="74"/>
      <c r="E112" s="74"/>
      <c r="F112" s="74"/>
      <c r="G112" s="74"/>
      <c r="H112" s="74"/>
    </row>
    <row r="113" spans="1:8">
      <c r="A113" s="73"/>
      <c r="B113" s="74"/>
      <c r="C113" s="74"/>
      <c r="D113" s="74"/>
      <c r="E113" s="74"/>
      <c r="F113" s="74"/>
      <c r="G113" s="74"/>
      <c r="H113" s="74"/>
    </row>
    <row r="114" spans="1:8">
      <c r="A114" s="73" t="str">
        <f>A56</f>
        <v>Chilli</v>
      </c>
      <c r="B114" s="74"/>
      <c r="C114" s="74"/>
      <c r="D114" s="74"/>
      <c r="E114" s="74"/>
      <c r="F114" s="74"/>
      <c r="G114" s="74"/>
      <c r="H114" s="74"/>
    </row>
    <row r="115" spans="1:8">
      <c r="A115" s="73"/>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5" t="str">
        <f t="shared" ref="A118:A123" si="17">A57</f>
        <v>Brinjal</v>
      </c>
      <c r="B118" s="74"/>
      <c r="C118" s="74"/>
      <c r="D118" s="74"/>
      <c r="E118" s="74"/>
      <c r="F118" s="74"/>
      <c r="G118" s="74"/>
      <c r="H118" s="74"/>
    </row>
    <row r="119" spans="1:8">
      <c r="A119" s="73">
        <f t="shared" si="17"/>
        <v>0</v>
      </c>
      <c r="B119" s="74"/>
      <c r="C119" s="74"/>
      <c r="D119" s="74"/>
      <c r="E119" s="74"/>
      <c r="F119" s="74"/>
      <c r="G119" s="74"/>
      <c r="H119" s="74"/>
    </row>
    <row r="120" spans="1:8">
      <c r="A120" s="73">
        <f t="shared" si="17"/>
        <v>0</v>
      </c>
      <c r="B120" s="74"/>
      <c r="C120" s="74"/>
      <c r="D120" s="74"/>
      <c r="E120" s="74"/>
      <c r="F120" s="74"/>
      <c r="G120" s="74"/>
      <c r="H120" s="74"/>
    </row>
    <row r="121" spans="1:8">
      <c r="A121" s="73">
        <f t="shared" si="17"/>
        <v>0</v>
      </c>
      <c r="B121" s="74"/>
      <c r="C121" s="74"/>
      <c r="D121" s="74"/>
      <c r="E121" s="74"/>
      <c r="F121" s="74"/>
      <c r="G121" s="74"/>
      <c r="H121" s="74"/>
    </row>
    <row r="122" spans="1:8">
      <c r="A122" s="73">
        <f t="shared" si="17"/>
        <v>0</v>
      </c>
      <c r="B122" s="74"/>
      <c r="C122" s="74"/>
      <c r="D122" s="74"/>
      <c r="E122" s="74"/>
      <c r="F122" s="74"/>
      <c r="G122" s="74"/>
      <c r="H122" s="74"/>
    </row>
    <row r="123" spans="1:8">
      <c r="A123" s="75" t="str">
        <f t="shared" si="17"/>
        <v>Pomegranate</v>
      </c>
      <c r="B123" s="74"/>
      <c r="C123" s="74"/>
      <c r="D123" s="74"/>
      <c r="E123" s="74"/>
      <c r="F123" s="74"/>
      <c r="G123" s="74"/>
      <c r="H123" s="74"/>
    </row>
    <row r="124" spans="1:8">
      <c r="A124" s="73" t="s">
        <v>517</v>
      </c>
      <c r="B124" s="74">
        <f>(B$62*50%)*0.7</f>
        <v>0</v>
      </c>
      <c r="C124" s="74">
        <f>(C$62*50%)*0.7</f>
        <v>0</v>
      </c>
      <c r="D124" s="74">
        <f t="shared" ref="D124:H126" si="18">(D$62*50%)*0.7</f>
        <v>0</v>
      </c>
      <c r="E124" s="74">
        <f t="shared" si="18"/>
        <v>0</v>
      </c>
      <c r="F124" s="74">
        <f t="shared" si="18"/>
        <v>0</v>
      </c>
      <c r="G124" s="74">
        <f t="shared" si="18"/>
        <v>0</v>
      </c>
      <c r="H124" s="74">
        <f t="shared" si="18"/>
        <v>0</v>
      </c>
    </row>
    <row r="125" spans="1:8">
      <c r="A125" s="73" t="s">
        <v>515</v>
      </c>
      <c r="B125" s="74">
        <f>(B$62*50%)*0.7*2</f>
        <v>0</v>
      </c>
      <c r="C125" s="74">
        <f>(C$62*50%)*0.7</f>
        <v>0</v>
      </c>
      <c r="D125" s="74">
        <f t="shared" si="18"/>
        <v>0</v>
      </c>
      <c r="E125" s="74">
        <f t="shared" si="18"/>
        <v>0</v>
      </c>
      <c r="F125" s="74">
        <f t="shared" si="18"/>
        <v>0</v>
      </c>
      <c r="G125" s="74">
        <f t="shared" si="18"/>
        <v>0</v>
      </c>
      <c r="H125" s="74">
        <f t="shared" si="18"/>
        <v>0</v>
      </c>
    </row>
    <row r="126" spans="1:8">
      <c r="A126" s="73" t="s">
        <v>516</v>
      </c>
      <c r="B126" s="74">
        <f>(B$62*0.3)*0.2</f>
        <v>0</v>
      </c>
      <c r="C126" s="74">
        <f>(C$62*50%)*0.7</f>
        <v>0</v>
      </c>
      <c r="D126" s="74">
        <f t="shared" si="18"/>
        <v>0</v>
      </c>
      <c r="E126" s="74">
        <f t="shared" si="18"/>
        <v>0</v>
      </c>
      <c r="F126" s="74">
        <f t="shared" si="18"/>
        <v>0</v>
      </c>
      <c r="G126" s="74">
        <f t="shared" si="18"/>
        <v>0</v>
      </c>
      <c r="H126" s="74">
        <f t="shared" si="18"/>
        <v>0</v>
      </c>
    </row>
    <row r="127" spans="1:8">
      <c r="A127" s="73" t="str">
        <f t="shared" ref="A127" si="19">A63</f>
        <v>Custard Apple</v>
      </c>
      <c r="B127" s="74"/>
      <c r="C127" s="74"/>
      <c r="D127" s="74"/>
      <c r="E127" s="74"/>
      <c r="F127" s="74"/>
      <c r="G127" s="74"/>
      <c r="H127" s="74"/>
    </row>
    <row r="128" spans="1:8">
      <c r="A128" s="73"/>
      <c r="B128" s="74"/>
      <c r="C128" s="74"/>
      <c r="D128" s="74"/>
      <c r="E128" s="74"/>
      <c r="F128" s="74"/>
      <c r="G128" s="74"/>
      <c r="H128" s="74"/>
    </row>
    <row r="129" spans="1:8">
      <c r="A129" s="73"/>
      <c r="B129" s="74"/>
      <c r="C129" s="74"/>
      <c r="D129" s="74"/>
      <c r="E129" s="74"/>
      <c r="F129" s="74"/>
      <c r="G129" s="74"/>
      <c r="H129" s="74"/>
    </row>
    <row r="130" spans="1:8">
      <c r="A130" s="73"/>
      <c r="B130" s="74"/>
      <c r="C130" s="74"/>
      <c r="D130" s="74"/>
      <c r="E130" s="74"/>
      <c r="F130" s="74"/>
      <c r="G130" s="74"/>
      <c r="H130" s="74"/>
    </row>
    <row r="131" spans="1:8">
      <c r="A131" s="73" t="str">
        <f>A64</f>
        <v>Guava</v>
      </c>
      <c r="B131" s="74"/>
      <c r="C131" s="74"/>
      <c r="D131" s="74"/>
      <c r="E131" s="74"/>
      <c r="F131" s="74"/>
      <c r="G131" s="74"/>
      <c r="H131" s="74"/>
    </row>
    <row r="132" spans="1:8">
      <c r="A132" s="73"/>
      <c r="B132" s="74"/>
      <c r="C132" s="74"/>
      <c r="D132" s="74"/>
      <c r="E132" s="74"/>
      <c r="F132" s="74"/>
      <c r="G132" s="74"/>
      <c r="H132" s="74"/>
    </row>
    <row r="133" spans="1:8">
      <c r="A133" s="73"/>
      <c r="B133" s="74"/>
      <c r="C133" s="74"/>
      <c r="D133" s="74"/>
      <c r="E133" s="74"/>
      <c r="F133" s="74"/>
      <c r="G133" s="74"/>
      <c r="H133" s="74"/>
    </row>
    <row r="134" spans="1:8">
      <c r="A134" s="73"/>
      <c r="B134" s="74"/>
      <c r="C134" s="74"/>
      <c r="D134" s="74"/>
      <c r="E134" s="74"/>
      <c r="F134" s="74"/>
      <c r="G134" s="74"/>
      <c r="H134" s="74"/>
    </row>
    <row r="135" spans="1:8">
      <c r="A135" s="73" t="str">
        <f>A65</f>
        <v>Citrus</v>
      </c>
      <c r="B135" s="74"/>
      <c r="C135" s="74"/>
      <c r="D135" s="74"/>
      <c r="E135" s="74"/>
      <c r="F135" s="74"/>
      <c r="G135" s="74"/>
      <c r="H135" s="74"/>
    </row>
    <row r="136" spans="1:8">
      <c r="A136" s="73"/>
      <c r="B136" s="74"/>
      <c r="C136" s="74"/>
      <c r="D136" s="74"/>
      <c r="E136" s="74"/>
      <c r="F136" s="74"/>
      <c r="G136" s="74"/>
      <c r="H136" s="74"/>
    </row>
    <row r="137" spans="1:8">
      <c r="A137" s="73"/>
      <c r="B137" s="74"/>
      <c r="C137" s="74"/>
      <c r="D137" s="74"/>
      <c r="E137" s="74"/>
      <c r="F137" s="74"/>
      <c r="G137" s="74"/>
      <c r="H137" s="74"/>
    </row>
    <row r="138" spans="1:8">
      <c r="A138" s="73"/>
      <c r="B138" s="74"/>
      <c r="C138" s="74"/>
      <c r="D138" s="74"/>
      <c r="E138" s="74"/>
      <c r="F138" s="74"/>
      <c r="G138" s="74"/>
      <c r="H138" s="74"/>
    </row>
    <row r="139" spans="1:8">
      <c r="A139" s="72"/>
      <c r="B139" s="252"/>
      <c r="C139" s="252"/>
      <c r="D139" s="252"/>
      <c r="E139" s="252"/>
      <c r="F139" s="252"/>
      <c r="G139" s="252"/>
      <c r="H139" s="252"/>
    </row>
    <row r="140" spans="1:8">
      <c r="A140" s="72" t="s">
        <v>439</v>
      </c>
    </row>
    <row r="141" spans="1:8">
      <c r="A141" t="s">
        <v>520</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521</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522</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7.5">
      <c r="A147" s="411" t="s">
        <v>592</v>
      </c>
      <c r="B147" s="411"/>
      <c r="C147" s="411"/>
      <c r="D147" s="411"/>
      <c r="E147" s="411"/>
      <c r="F147" s="411"/>
      <c r="G147" s="411"/>
      <c r="H147" s="411"/>
      <c r="I147" s="411"/>
      <c r="J147" s="411"/>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153</v>
      </c>
      <c r="D151" s="96" t="s">
        <v>2</v>
      </c>
      <c r="E151" s="96" t="s">
        <v>3</v>
      </c>
      <c r="F151" s="96" t="s">
        <v>4</v>
      </c>
      <c r="G151" s="96" t="s">
        <v>5</v>
      </c>
      <c r="H151" s="96" t="s">
        <v>6</v>
      </c>
      <c r="I151" s="96" t="s">
        <v>169</v>
      </c>
      <c r="J151" s="96" t="s">
        <v>168</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tr">
        <f>A124</f>
        <v>Pomegranate Arils</v>
      </c>
      <c r="B154" s="194" t="s">
        <v>519</v>
      </c>
      <c r="C154" s="194">
        <v>200</v>
      </c>
      <c r="D154" s="74">
        <f>(B141*(1-'5.Closing Stock &amp; W Capital'!$D$18)*$C154*D$149)</f>
        <v>0</v>
      </c>
      <c r="E154" s="74">
        <f>(((C141*(1-'5.Closing Stock &amp; W Capital'!$D$18))+(B141*'5.Closing Stock &amp; W Capital'!$D$18))*$C154*E$149)</f>
        <v>0</v>
      </c>
      <c r="F154" s="74">
        <f>(((D141*(1-'5.Closing Stock &amp; W Capital'!$D$18))+(C141*'5.Closing Stock &amp; W Capital'!$D$18))*$C154*F$149)</f>
        <v>0</v>
      </c>
      <c r="G154" s="74">
        <f>(((E141*(1-'5.Closing Stock &amp; W Capital'!$D$18))+(D141*'5.Closing Stock &amp; W Capital'!$D$18))*$C154*G$149)</f>
        <v>0</v>
      </c>
      <c r="H154" s="74">
        <f>(((F141*(1-'5.Closing Stock &amp; W Capital'!$D$18))+(E141*'5.Closing Stock &amp; W Capital'!$D$18))*$C154*H$149)</f>
        <v>0</v>
      </c>
      <c r="I154" s="74">
        <f>(((G141*(1-'5.Closing Stock &amp; W Capital'!$D$18))+(F141*'5.Closing Stock &amp; W Capital'!$D$18))*$C154*I$149)</f>
        <v>0</v>
      </c>
      <c r="J154" s="74">
        <f>(((H141*(1-'5.Closing Stock &amp; W Capital'!$D$18))+(G141*'5.Closing Stock &amp; W Capital'!$D$18))*$C154*J$149)</f>
        <v>0</v>
      </c>
    </row>
    <row r="155" spans="1:10">
      <c r="A155" s="73" t="str">
        <f>A125</f>
        <v>Pomegranate Juice</v>
      </c>
      <c r="B155" s="194" t="s">
        <v>518</v>
      </c>
      <c r="C155" s="194">
        <v>50</v>
      </c>
      <c r="D155" s="74">
        <f>(B142*(1-'5.Closing Stock &amp; W Capital'!$D$18)*$C155*D$149)</f>
        <v>0</v>
      </c>
      <c r="E155" s="74">
        <f>(((C142*(1-'5.Closing Stock &amp; W Capital'!$D$18))+(B142*'5.Closing Stock &amp; W Capital'!$D$18))*$C155*E$149)</f>
        <v>0</v>
      </c>
      <c r="F155" s="74">
        <f>(((D142*(1-'5.Closing Stock &amp; W Capital'!$D$18))+(C142*'5.Closing Stock &amp; W Capital'!$D$18))*$C155*F$149)</f>
        <v>0</v>
      </c>
      <c r="G155" s="74">
        <f>(((E142*(1-'5.Closing Stock &amp; W Capital'!$D$18))+(D142*'5.Closing Stock &amp; W Capital'!$D$18))*$C155*G$149)</f>
        <v>0</v>
      </c>
      <c r="H155" s="74">
        <f>(((F142*(1-'5.Closing Stock &amp; W Capital'!$D$18))+(E142*'5.Closing Stock &amp; W Capital'!$D$18))*$C155*H$149)</f>
        <v>0</v>
      </c>
      <c r="I155" s="74">
        <f>(((G142*(1-'5.Closing Stock &amp; W Capital'!$D$18))+(F142*'5.Closing Stock &amp; W Capital'!$D$18))*$C155*I$149)</f>
        <v>0</v>
      </c>
      <c r="J155" s="74">
        <f>(((H142*(1-'5.Closing Stock &amp; W Capital'!$D$18))+(G142*'5.Closing Stock &amp; W Capital'!$D$18))*$C155*J$149)</f>
        <v>0</v>
      </c>
    </row>
    <row r="156" spans="1:10">
      <c r="A156" s="73" t="str">
        <f>A126</f>
        <v>Pomegranate Powder</v>
      </c>
      <c r="B156" s="194" t="s">
        <v>356</v>
      </c>
      <c r="C156" s="194">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194"/>
      <c r="C157" s="194"/>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5">SUM(E154:E158)</f>
        <v>0</v>
      </c>
      <c r="F159" s="91">
        <f t="shared" si="25"/>
        <v>0</v>
      </c>
      <c r="G159" s="91">
        <f t="shared" si="25"/>
        <v>0</v>
      </c>
      <c r="H159" s="91">
        <f t="shared" si="25"/>
        <v>0</v>
      </c>
      <c r="I159" s="91">
        <f t="shared" si="25"/>
        <v>0</v>
      </c>
      <c r="J159" s="91">
        <f t="shared" si="25"/>
        <v>0</v>
      </c>
    </row>
    <row r="160" spans="1:10">
      <c r="A160" s="73"/>
      <c r="B160" s="73"/>
      <c r="C160" s="73"/>
      <c r="D160" s="74"/>
      <c r="E160" s="74"/>
      <c r="F160" s="74"/>
      <c r="G160" s="74"/>
      <c r="H160" s="74"/>
      <c r="I160" s="74"/>
      <c r="J160" s="74"/>
    </row>
    <row r="161" spans="1:10">
      <c r="A161" s="75" t="s">
        <v>143</v>
      </c>
      <c r="B161" s="75"/>
      <c r="C161" s="75"/>
      <c r="D161" s="74"/>
      <c r="E161" s="74"/>
      <c r="F161" s="74"/>
      <c r="G161" s="74"/>
      <c r="H161" s="74"/>
      <c r="I161" s="74"/>
      <c r="J161" s="74"/>
    </row>
    <row r="162" spans="1:10">
      <c r="A162" s="75" t="s">
        <v>307</v>
      </c>
      <c r="B162" s="75"/>
      <c r="C162" s="73"/>
      <c r="D162" s="74"/>
      <c r="E162" s="74"/>
      <c r="F162" s="74"/>
      <c r="G162" s="74"/>
      <c r="H162" s="74"/>
      <c r="I162" s="74"/>
      <c r="J162" s="74"/>
    </row>
    <row r="163" spans="1:10">
      <c r="A163" s="73" t="s">
        <v>523</v>
      </c>
      <c r="B163" s="194" t="s">
        <v>357</v>
      </c>
      <c r="C163" s="214">
        <v>6000</v>
      </c>
      <c r="D163" s="74">
        <f>B62*$C163*D$149</f>
        <v>0</v>
      </c>
      <c r="E163" s="74">
        <f>C62*$C163*E$149</f>
        <v>0</v>
      </c>
      <c r="F163" s="74">
        <f t="shared" ref="F163:J163" si="26">D62*$C163*F$149</f>
        <v>0</v>
      </c>
      <c r="G163" s="74">
        <f t="shared" si="26"/>
        <v>0</v>
      </c>
      <c r="H163" s="74">
        <f t="shared" si="26"/>
        <v>0</v>
      </c>
      <c r="I163" s="74">
        <f t="shared" si="26"/>
        <v>0</v>
      </c>
      <c r="J163" s="74">
        <f t="shared" si="26"/>
        <v>0</v>
      </c>
    </row>
    <row r="164" spans="1:10">
      <c r="A164" s="73" t="s">
        <v>524</v>
      </c>
      <c r="B164" s="194" t="s">
        <v>357</v>
      </c>
      <c r="C164" s="194">
        <v>2000</v>
      </c>
      <c r="D164" s="74">
        <f>(B62*10%)*$C164*D$149</f>
        <v>0</v>
      </c>
      <c r="E164" s="74">
        <f t="shared" ref="E164:J164" si="27">(C62*10%)*$C164*E$149</f>
        <v>0</v>
      </c>
      <c r="F164" s="74">
        <f t="shared" si="27"/>
        <v>0</v>
      </c>
      <c r="G164" s="74">
        <f t="shared" si="27"/>
        <v>0</v>
      </c>
      <c r="H164" s="74">
        <f t="shared" si="27"/>
        <v>0</v>
      </c>
      <c r="I164" s="74">
        <f t="shared" si="27"/>
        <v>0</v>
      </c>
      <c r="J164" s="74">
        <f t="shared" si="27"/>
        <v>0</v>
      </c>
    </row>
    <row r="165" spans="1:10">
      <c r="A165" s="73" t="s">
        <v>313</v>
      </c>
      <c r="B165" s="194">
        <v>5</v>
      </c>
      <c r="C165" s="194">
        <v>300</v>
      </c>
      <c r="D165" s="74">
        <f t="shared" ref="D165:J165" si="28">B12*$B$165*$C$165*D149</f>
        <v>0</v>
      </c>
      <c r="E165" s="74">
        <f t="shared" si="28"/>
        <v>0</v>
      </c>
      <c r="F165" s="74">
        <f t="shared" si="28"/>
        <v>0</v>
      </c>
      <c r="G165" s="74">
        <f t="shared" si="28"/>
        <v>0</v>
      </c>
      <c r="H165" s="74">
        <f t="shared" si="28"/>
        <v>0</v>
      </c>
      <c r="I165" s="74">
        <f t="shared" si="28"/>
        <v>0</v>
      </c>
      <c r="J165" s="74">
        <f t="shared" si="28"/>
        <v>0</v>
      </c>
    </row>
    <row r="166" spans="1:10">
      <c r="A166" s="73" t="s">
        <v>145</v>
      </c>
      <c r="B166" s="73">
        <f>'2.Capex Details'!H48*0.746*8</f>
        <v>0</v>
      </c>
      <c r="C166" s="194">
        <v>8</v>
      </c>
      <c r="D166" s="74">
        <f t="shared" ref="D166:J166" si="29">$B$166*$C$166*B12*D149</f>
        <v>0</v>
      </c>
      <c r="E166" s="74">
        <f t="shared" si="29"/>
        <v>0</v>
      </c>
      <c r="F166" s="74">
        <f t="shared" si="29"/>
        <v>0</v>
      </c>
      <c r="G166" s="74">
        <f t="shared" si="29"/>
        <v>0</v>
      </c>
      <c r="H166" s="74">
        <f t="shared" si="29"/>
        <v>0</v>
      </c>
      <c r="I166" s="74">
        <f t="shared" si="29"/>
        <v>0</v>
      </c>
      <c r="J166" s="74">
        <f t="shared" si="29"/>
        <v>0</v>
      </c>
    </row>
    <row r="167" spans="1:10">
      <c r="A167" s="73" t="s">
        <v>291</v>
      </c>
      <c r="B167" s="73" t="s">
        <v>357</v>
      </c>
      <c r="C167" s="194">
        <v>10</v>
      </c>
      <c r="D167" s="74">
        <f>B62*$C167*D$149</f>
        <v>0</v>
      </c>
      <c r="E167" s="74">
        <f t="shared" ref="E167:J167" si="30">C62*$C167*E$149</f>
        <v>0</v>
      </c>
      <c r="F167" s="74">
        <f t="shared" si="30"/>
        <v>0</v>
      </c>
      <c r="G167" s="74">
        <f t="shared" si="30"/>
        <v>0</v>
      </c>
      <c r="H167" s="74">
        <f t="shared" si="30"/>
        <v>0</v>
      </c>
      <c r="I167" s="74">
        <f t="shared" si="30"/>
        <v>0</v>
      </c>
      <c r="J167" s="74">
        <f t="shared" si="30"/>
        <v>0</v>
      </c>
    </row>
    <row r="168" spans="1:10">
      <c r="A168" s="85" t="s">
        <v>292</v>
      </c>
      <c r="B168" s="85"/>
      <c r="C168" s="216">
        <v>2</v>
      </c>
      <c r="D168" s="74">
        <f>SUM(B141:B143)*$C$168*D$149</f>
        <v>0</v>
      </c>
      <c r="E168" s="74">
        <f t="shared" ref="E168:J168" si="31">SUM(C141:C143)*$C$168*E$149</f>
        <v>0</v>
      </c>
      <c r="F168" s="74">
        <f t="shared" si="31"/>
        <v>0</v>
      </c>
      <c r="G168" s="74">
        <f t="shared" si="31"/>
        <v>0</v>
      </c>
      <c r="H168" s="74">
        <f t="shared" si="31"/>
        <v>0</v>
      </c>
      <c r="I168" s="74">
        <f t="shared" si="31"/>
        <v>0</v>
      </c>
      <c r="J168" s="74">
        <f t="shared" si="31"/>
        <v>0</v>
      </c>
    </row>
    <row r="169" spans="1:10">
      <c r="A169" s="73" t="s">
        <v>293</v>
      </c>
      <c r="B169" s="73"/>
      <c r="C169" s="194">
        <v>1</v>
      </c>
      <c r="D169" s="74">
        <f>SUM(B141:B143)*$C$169*D$149</f>
        <v>0</v>
      </c>
      <c r="E169" s="74">
        <f t="shared" ref="E169:J169" si="32">SUM(C141:C143)*$C$169*E$149</f>
        <v>0</v>
      </c>
      <c r="F169" s="74">
        <f t="shared" si="32"/>
        <v>0</v>
      </c>
      <c r="G169" s="74">
        <f t="shared" si="32"/>
        <v>0</v>
      </c>
      <c r="H169" s="74">
        <f t="shared" si="32"/>
        <v>0</v>
      </c>
      <c r="I169" s="74">
        <f t="shared" si="32"/>
        <v>0</v>
      </c>
      <c r="J169" s="7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336</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337</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314</v>
      </c>
      <c r="B177" s="74"/>
      <c r="C177" s="74"/>
      <c r="D177" s="91">
        <f t="shared" ref="D177:J177" si="33">SUM(D163:D174)-D175</f>
        <v>0</v>
      </c>
      <c r="E177" s="91">
        <f t="shared" si="33"/>
        <v>0</v>
      </c>
      <c r="F177" s="91">
        <f t="shared" si="33"/>
        <v>0</v>
      </c>
      <c r="G177" s="91">
        <f t="shared" si="33"/>
        <v>0</v>
      </c>
      <c r="H177" s="91">
        <f t="shared" si="33"/>
        <v>0</v>
      </c>
      <c r="I177" s="91">
        <f t="shared" si="33"/>
        <v>0</v>
      </c>
      <c r="J177" s="91">
        <f t="shared" si="33"/>
        <v>0</v>
      </c>
    </row>
    <row r="178" spans="1:10">
      <c r="A178" s="72"/>
      <c r="B178" s="72"/>
      <c r="C178" s="72"/>
      <c r="D178" s="72"/>
      <c r="E178" s="72"/>
      <c r="F178" s="72"/>
      <c r="G178" s="72"/>
      <c r="H178" s="72"/>
      <c r="I178" s="72"/>
      <c r="J178" s="72"/>
    </row>
    <row r="179" spans="1:10">
      <c r="A179" s="166" t="s">
        <v>306</v>
      </c>
      <c r="B179" s="166"/>
      <c r="C179" s="166"/>
      <c r="D179" s="91"/>
      <c r="E179" s="91"/>
      <c r="F179" s="91"/>
      <c r="G179" s="91"/>
      <c r="H179" s="91"/>
      <c r="I179" s="91"/>
      <c r="J179" s="91"/>
    </row>
    <row r="180" spans="1:10">
      <c r="A180" s="73" t="s">
        <v>186</v>
      </c>
      <c r="B180" s="194">
        <v>1</v>
      </c>
      <c r="C180" s="214"/>
      <c r="D180" s="74">
        <f t="shared" ref="D180:J180" si="34">$B$180*$C$180*12*D149</f>
        <v>0</v>
      </c>
      <c r="E180" s="74">
        <f t="shared" si="34"/>
        <v>0</v>
      </c>
      <c r="F180" s="74">
        <f t="shared" si="34"/>
        <v>0</v>
      </c>
      <c r="G180" s="74">
        <f t="shared" si="34"/>
        <v>0</v>
      </c>
      <c r="H180" s="74">
        <f t="shared" si="34"/>
        <v>0</v>
      </c>
      <c r="I180" s="74">
        <f t="shared" si="34"/>
        <v>0</v>
      </c>
      <c r="J180" s="74">
        <f t="shared" si="34"/>
        <v>0</v>
      </c>
    </row>
    <row r="181" spans="1:10">
      <c r="A181" s="73" t="s">
        <v>191</v>
      </c>
      <c r="B181" s="194">
        <v>2</v>
      </c>
      <c r="C181" s="214"/>
      <c r="D181" s="74">
        <f t="shared" ref="D181:J181" si="35">$B$181*$C$181*12*D149</f>
        <v>0</v>
      </c>
      <c r="E181" s="74">
        <f t="shared" si="35"/>
        <v>0</v>
      </c>
      <c r="F181" s="74">
        <f t="shared" si="35"/>
        <v>0</v>
      </c>
      <c r="G181" s="74">
        <f t="shared" si="35"/>
        <v>0</v>
      </c>
      <c r="H181" s="74">
        <f t="shared" si="35"/>
        <v>0</v>
      </c>
      <c r="I181" s="74">
        <f t="shared" si="35"/>
        <v>0</v>
      </c>
      <c r="J181" s="74">
        <f t="shared" si="35"/>
        <v>0</v>
      </c>
    </row>
    <row r="182" spans="1:10">
      <c r="A182" s="73"/>
      <c r="B182" s="194"/>
      <c r="C182" s="214"/>
      <c r="D182" s="74"/>
      <c r="E182" s="74"/>
      <c r="F182" s="74"/>
      <c r="G182" s="74"/>
      <c r="H182" s="74"/>
      <c r="I182" s="74"/>
      <c r="J182" s="74"/>
    </row>
    <row r="183" spans="1:10">
      <c r="A183" s="73"/>
      <c r="B183" s="194"/>
      <c r="C183" s="214"/>
      <c r="D183" s="74"/>
      <c r="E183" s="74"/>
      <c r="F183" s="74"/>
      <c r="G183" s="74"/>
      <c r="H183" s="74"/>
      <c r="I183" s="74"/>
      <c r="J183" s="74"/>
    </row>
    <row r="184" spans="1:10">
      <c r="A184" s="73"/>
      <c r="B184" s="194"/>
      <c r="C184" s="214"/>
      <c r="D184" s="74"/>
      <c r="E184" s="74"/>
      <c r="F184" s="74"/>
      <c r="G184" s="74"/>
      <c r="H184" s="74"/>
      <c r="I184" s="74"/>
      <c r="J184" s="74"/>
    </row>
    <row r="185" spans="1:10">
      <c r="A185" s="75" t="s">
        <v>306</v>
      </c>
      <c r="B185" s="75"/>
      <c r="C185" s="75"/>
      <c r="D185" s="91">
        <f>SUM(D180:D184)</f>
        <v>0</v>
      </c>
      <c r="E185" s="91">
        <f t="shared" ref="E185:J185" si="36">SUM(E180:E184)</f>
        <v>0</v>
      </c>
      <c r="F185" s="91">
        <f t="shared" si="36"/>
        <v>0</v>
      </c>
      <c r="G185" s="91">
        <f t="shared" si="36"/>
        <v>0</v>
      </c>
      <c r="H185" s="91">
        <f t="shared" si="36"/>
        <v>0</v>
      </c>
      <c r="I185" s="91">
        <f t="shared" si="36"/>
        <v>0</v>
      </c>
      <c r="J185" s="91">
        <f t="shared" si="36"/>
        <v>0</v>
      </c>
    </row>
    <row r="186" spans="1:10">
      <c r="A186" s="166" t="s">
        <v>294</v>
      </c>
      <c r="B186" s="166"/>
      <c r="C186" s="166"/>
      <c r="D186" s="91">
        <f>D177+D185</f>
        <v>0</v>
      </c>
      <c r="E186" s="91">
        <f t="shared" ref="E186:J186" si="37">E177+E185</f>
        <v>0</v>
      </c>
      <c r="F186" s="91">
        <f t="shared" si="37"/>
        <v>0</v>
      </c>
      <c r="G186" s="91">
        <f t="shared" si="37"/>
        <v>0</v>
      </c>
      <c r="H186" s="91">
        <f t="shared" si="37"/>
        <v>0</v>
      </c>
      <c r="I186" s="91">
        <f t="shared" si="37"/>
        <v>0</v>
      </c>
      <c r="J186" s="91">
        <f t="shared" si="37"/>
        <v>0</v>
      </c>
    </row>
    <row r="187" spans="1:10">
      <c r="A187" s="73"/>
      <c r="B187" s="73"/>
      <c r="C187" s="73"/>
      <c r="D187" s="74"/>
      <c r="E187" s="74"/>
      <c r="F187" s="74"/>
      <c r="G187" s="74"/>
      <c r="H187" s="74"/>
      <c r="I187" s="74"/>
      <c r="J187" s="74"/>
    </row>
    <row r="188" spans="1:10">
      <c r="A188" s="75" t="s">
        <v>7</v>
      </c>
      <c r="B188" s="75"/>
      <c r="C188" s="75"/>
      <c r="D188" s="91">
        <f t="shared" ref="D188:J188" si="38">D159-D186</f>
        <v>0</v>
      </c>
      <c r="E188" s="91">
        <f t="shared" si="38"/>
        <v>0</v>
      </c>
      <c r="F188" s="91">
        <f t="shared" si="38"/>
        <v>0</v>
      </c>
      <c r="G188" s="91">
        <f t="shared" si="38"/>
        <v>0</v>
      </c>
      <c r="H188" s="91">
        <f t="shared" si="38"/>
        <v>0</v>
      </c>
      <c r="I188" s="91">
        <f t="shared" si="38"/>
        <v>0</v>
      </c>
      <c r="J188" s="91">
        <f t="shared" si="38"/>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410" t="s">
        <v>413</v>
      </c>
      <c r="B192" s="410"/>
      <c r="C192" s="410"/>
      <c r="D192" s="410"/>
      <c r="E192" s="410"/>
      <c r="F192" s="410"/>
      <c r="G192" s="410"/>
      <c r="H192" s="410"/>
      <c r="I192" s="410"/>
      <c r="J192" s="410"/>
    </row>
    <row r="194" spans="1:5">
      <c r="A194" t="s">
        <v>530</v>
      </c>
    </row>
    <row r="195" spans="1:5">
      <c r="A195">
        <v>1</v>
      </c>
      <c r="B195" t="s">
        <v>543</v>
      </c>
    </row>
    <row r="196" spans="1:5">
      <c r="A196">
        <v>2</v>
      </c>
      <c r="B196" t="s">
        <v>544</v>
      </c>
      <c r="C196" s="52"/>
      <c r="D196" s="52"/>
      <c r="E196" s="52"/>
    </row>
    <row r="197" spans="1:5">
      <c r="A197">
        <v>3</v>
      </c>
      <c r="B197" s="72" t="s">
        <v>595</v>
      </c>
    </row>
    <row r="199" spans="1:5">
      <c r="A199" t="s">
        <v>689</v>
      </c>
      <c r="B199" t="s">
        <v>691</v>
      </c>
    </row>
    <row r="200" spans="1:5">
      <c r="B200" t="s">
        <v>704</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view="pageBreakPreview" zoomScaleNormal="100" zoomScaleSheetLayoutView="100" workbookViewId="0">
      <selection activeCell="D11" sqref="D11"/>
    </sheetView>
  </sheetViews>
  <sheetFormatPr defaultRowHeight="14.5"/>
  <cols>
    <col min="2" max="2" width="7.54296875" bestFit="1" customWidth="1"/>
    <col min="3" max="3" width="26.26953125" bestFit="1" customWidth="1"/>
    <col min="4" max="4" width="15" customWidth="1"/>
    <col min="5" max="5" width="16" customWidth="1"/>
    <col min="6" max="6" width="24" customWidth="1"/>
  </cols>
  <sheetData>
    <row r="2" spans="1:6" ht="17.5">
      <c r="B2" s="411" t="s">
        <v>547</v>
      </c>
      <c r="C2" s="411"/>
      <c r="D2" s="411"/>
      <c r="E2" s="411"/>
      <c r="F2" s="411"/>
    </row>
    <row r="4" spans="1:6">
      <c r="B4" s="282" t="s">
        <v>146</v>
      </c>
      <c r="C4" s="282" t="s">
        <v>128</v>
      </c>
      <c r="D4" s="282" t="s">
        <v>158</v>
      </c>
      <c r="E4" s="287" t="s">
        <v>454</v>
      </c>
      <c r="F4" s="287" t="s">
        <v>455</v>
      </c>
    </row>
    <row r="5" spans="1:6">
      <c r="B5" s="283">
        <v>1</v>
      </c>
      <c r="C5" s="284" t="str">
        <f>'2.Capex Details'!B2</f>
        <v>Land and Building</v>
      </c>
      <c r="D5" s="288">
        <f>'2.Capex Details'!G8</f>
        <v>13467463</v>
      </c>
      <c r="E5" s="289">
        <v>0.6</v>
      </c>
      <c r="F5" s="290">
        <f>D5*E5</f>
        <v>8080477.7999999998</v>
      </c>
    </row>
    <row r="6" spans="1:6">
      <c r="B6" s="283">
        <v>2</v>
      </c>
      <c r="C6" s="284" t="str">
        <f>'2.Capex Details'!B13</f>
        <v>Machinery and Equipment</v>
      </c>
      <c r="D6" s="288">
        <f>'2.Capex Details'!G50</f>
        <v>1005863.6</v>
      </c>
      <c r="E6" s="289">
        <v>0.6</v>
      </c>
      <c r="F6" s="290">
        <f t="shared" ref="F6:F10" si="0">D6*E6</f>
        <v>603518.15999999992</v>
      </c>
    </row>
    <row r="7" spans="1:6">
      <c r="B7" s="283">
        <v>3</v>
      </c>
      <c r="C7" s="284" t="str">
        <f>'2.Capex Details'!B56</f>
        <v>Furniture and Fixture</v>
      </c>
      <c r="D7" s="288">
        <f>'2.Capex Details'!F66</f>
        <v>291640</v>
      </c>
      <c r="E7" s="289">
        <v>0.6</v>
      </c>
      <c r="F7" s="290">
        <f t="shared" si="0"/>
        <v>174984</v>
      </c>
    </row>
    <row r="8" spans="1:6">
      <c r="B8" s="283">
        <v>4</v>
      </c>
      <c r="C8" s="284" t="str">
        <f>'2.Capex Details'!B71</f>
        <v>IT &amp; It Infrastracture</v>
      </c>
      <c r="D8" s="288">
        <f>'2.Capex Details'!F84</f>
        <v>246820</v>
      </c>
      <c r="E8" s="289">
        <v>0.6</v>
      </c>
      <c r="F8" s="290">
        <f t="shared" si="0"/>
        <v>148092</v>
      </c>
    </row>
    <row r="9" spans="1:6">
      <c r="B9" s="283">
        <v>5</v>
      </c>
      <c r="C9" s="284" t="str">
        <f>'2.Capex Details'!B89</f>
        <v>Vehicle</v>
      </c>
      <c r="D9" s="288">
        <f>'2.Capex Details'!F113</f>
        <v>0</v>
      </c>
      <c r="E9" s="289">
        <v>0.6</v>
      </c>
      <c r="F9" s="290">
        <f t="shared" si="0"/>
        <v>0</v>
      </c>
    </row>
    <row r="10" spans="1:6">
      <c r="B10" s="283">
        <v>6</v>
      </c>
      <c r="C10" s="284" t="str">
        <f>'2.Capex Details'!B117</f>
        <v>Preliminary Expenses</v>
      </c>
      <c r="D10" s="288">
        <f>'2.Capex Details'!D124</f>
        <v>74160</v>
      </c>
      <c r="E10" s="289">
        <v>0.6</v>
      </c>
      <c r="F10" s="290">
        <f t="shared" si="0"/>
        <v>44496</v>
      </c>
    </row>
    <row r="11" spans="1:6">
      <c r="B11" s="283">
        <v>7</v>
      </c>
      <c r="C11" s="284" t="s">
        <v>157</v>
      </c>
      <c r="D11" s="288">
        <f>'5.Closing Stock &amp; W Capital'!E57</f>
        <v>455967.51879452047</v>
      </c>
      <c r="E11" s="291"/>
      <c r="F11" s="291"/>
    </row>
    <row r="12" spans="1:6">
      <c r="B12" s="409" t="s">
        <v>1</v>
      </c>
      <c r="C12" s="409"/>
      <c r="D12" s="292">
        <f>SUM(D5:D11)</f>
        <v>15541914.118794519</v>
      </c>
      <c r="E12" s="291"/>
      <c r="F12" s="292">
        <f>SUM(F5:F11)</f>
        <v>9051567.959999999</v>
      </c>
    </row>
    <row r="13" spans="1:6">
      <c r="D13" s="18"/>
    </row>
    <row r="14" spans="1:6" ht="25.5" customHeight="1">
      <c r="A14" s="412" t="s">
        <v>406</v>
      </c>
      <c r="B14" s="412"/>
      <c r="C14" s="412"/>
      <c r="D14" s="412"/>
      <c r="E14" s="412"/>
      <c r="F14" s="412"/>
    </row>
    <row r="16" spans="1:6" ht="17.5">
      <c r="B16" s="411" t="s">
        <v>548</v>
      </c>
      <c r="C16" s="411"/>
      <c r="D16" s="411"/>
      <c r="E16" s="411"/>
      <c r="F16" s="411"/>
    </row>
    <row r="18" spans="2:7">
      <c r="B18" s="281" t="s">
        <v>146</v>
      </c>
      <c r="C18" s="282" t="s">
        <v>128</v>
      </c>
      <c r="D18" s="282" t="s">
        <v>636</v>
      </c>
      <c r="E18" s="282" t="s">
        <v>158</v>
      </c>
    </row>
    <row r="19" spans="2:7">
      <c r="B19" s="283">
        <v>1</v>
      </c>
      <c r="C19" s="284" t="s">
        <v>326</v>
      </c>
      <c r="D19" s="309"/>
      <c r="E19" s="331">
        <v>8230000</v>
      </c>
    </row>
    <row r="20" spans="2:7" ht="39">
      <c r="B20" s="283">
        <v>2</v>
      </c>
      <c r="C20" s="284" t="s">
        <v>703</v>
      </c>
      <c r="D20" s="320"/>
      <c r="E20" s="285">
        <v>4113000</v>
      </c>
    </row>
    <row r="21" spans="2:7" ht="26">
      <c r="B21" s="283">
        <v>3</v>
      </c>
      <c r="C21" s="284" t="s">
        <v>702</v>
      </c>
      <c r="D21" s="308">
        <v>0.05</v>
      </c>
      <c r="E21" s="285">
        <f>D12-E19-E20</f>
        <v>3198914.1187945195</v>
      </c>
    </row>
    <row r="22" spans="2:7">
      <c r="B22" s="409" t="s">
        <v>1</v>
      </c>
      <c r="C22" s="409"/>
      <c r="D22" s="286"/>
      <c r="E22" s="286">
        <f>E19+E20+E21</f>
        <v>15541914.118794519</v>
      </c>
    </row>
    <row r="24" spans="2:7">
      <c r="B24" s="410" t="s">
        <v>407</v>
      </c>
      <c r="C24" s="410"/>
      <c r="D24" s="410"/>
      <c r="E24" s="410"/>
      <c r="F24" s="410"/>
    </row>
    <row r="26" spans="2:7" ht="17.5">
      <c r="B26" s="411" t="s">
        <v>549</v>
      </c>
      <c r="C26" s="411"/>
      <c r="D26" s="411"/>
      <c r="E26" s="411"/>
      <c r="F26" s="411"/>
    </row>
    <row r="27" spans="2:7" ht="30" customHeight="1">
      <c r="B27" s="294" t="s">
        <v>146</v>
      </c>
      <c r="C27" s="293" t="s">
        <v>597</v>
      </c>
      <c r="D27" s="293" t="s">
        <v>598</v>
      </c>
      <c r="E27" s="294" t="s">
        <v>599</v>
      </c>
      <c r="F27" s="294" t="s">
        <v>600</v>
      </c>
    </row>
    <row r="28" spans="2:7">
      <c r="B28" s="295">
        <v>1</v>
      </c>
      <c r="C28" s="284" t="s">
        <v>372</v>
      </c>
      <c r="D28" s="296">
        <f>'9.1 Financial indiacators'!C49</f>
        <v>0.24158017646168575</v>
      </c>
      <c r="E28" s="295" t="s">
        <v>373</v>
      </c>
      <c r="F28" s="302" t="s">
        <v>706</v>
      </c>
    </row>
    <row r="29" spans="2:7" ht="26">
      <c r="B29" s="295">
        <v>2</v>
      </c>
      <c r="C29" s="284" t="s">
        <v>374</v>
      </c>
      <c r="D29" s="297">
        <f>'9.1 Financial indiacators'!C85</f>
        <v>0.19957136361003799</v>
      </c>
      <c r="E29" s="295" t="s">
        <v>373</v>
      </c>
      <c r="F29" s="302" t="s">
        <v>679</v>
      </c>
    </row>
    <row r="30" spans="2:7" ht="26">
      <c r="B30" s="295">
        <v>3</v>
      </c>
      <c r="C30" s="284" t="s">
        <v>375</v>
      </c>
      <c r="D30" s="296">
        <f>'9.1 Financial indiacators'!C16</f>
        <v>0.12334363458709485</v>
      </c>
      <c r="E30" s="295" t="s">
        <v>373</v>
      </c>
      <c r="F30" s="302" t="s">
        <v>602</v>
      </c>
    </row>
    <row r="31" spans="2:7" ht="52">
      <c r="B31" s="295">
        <v>4</v>
      </c>
      <c r="C31" s="284" t="s">
        <v>376</v>
      </c>
      <c r="D31" s="298">
        <f>'9.1 Financial indiacators'!C73</f>
        <v>1398224.0480198525</v>
      </c>
      <c r="E31" s="295" t="s">
        <v>680</v>
      </c>
      <c r="F31" s="302" t="s">
        <v>601</v>
      </c>
    </row>
    <row r="32" spans="2:7" ht="39">
      <c r="B32" s="295">
        <v>5</v>
      </c>
      <c r="C32" s="284" t="s">
        <v>377</v>
      </c>
      <c r="D32" s="299">
        <f>'9.1 Financial indiacators'!D101</f>
        <v>4.9345804785062857</v>
      </c>
      <c r="E32" s="295" t="s">
        <v>373</v>
      </c>
      <c r="F32" s="302" t="s">
        <v>708</v>
      </c>
      <c r="G32">
        <f>12*0.93</f>
        <v>11.16</v>
      </c>
    </row>
    <row r="33" spans="2:6">
      <c r="B33" s="295">
        <v>6</v>
      </c>
      <c r="C33" s="300" t="s">
        <v>378</v>
      </c>
      <c r="D33" s="299">
        <f>'9.1 Financial indiacators'!C116</f>
        <v>5.7807389550046446</v>
      </c>
      <c r="E33" s="301" t="s">
        <v>373</v>
      </c>
      <c r="F33" s="302" t="s">
        <v>603</v>
      </c>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167" workbookViewId="0">
      <selection activeCell="B176" sqref="B176"/>
    </sheetView>
  </sheetViews>
  <sheetFormatPr defaultRowHeight="14.5"/>
  <cols>
    <col min="1" max="1" width="39.36328125" bestFit="1" customWidth="1"/>
    <col min="2" max="2" width="16.7265625" bestFit="1" customWidth="1"/>
    <col min="3" max="3" width="15.7265625" bestFit="1" customWidth="1"/>
    <col min="4" max="4" width="15.08984375" bestFit="1" customWidth="1"/>
    <col min="5" max="5" width="17.90625" bestFit="1" customWidth="1"/>
    <col min="6" max="8" width="15.08984375" bestFit="1" customWidth="1"/>
    <col min="9" max="9" width="11.26953125" bestFit="1" customWidth="1"/>
  </cols>
  <sheetData>
    <row r="2" spans="1:8" ht="17.5">
      <c r="A2" s="411" t="s">
        <v>556</v>
      </c>
      <c r="B2" s="411"/>
      <c r="C2" s="411"/>
      <c r="D2" s="411"/>
      <c r="E2" s="411"/>
      <c r="F2" s="411"/>
      <c r="G2" s="411"/>
      <c r="H2" s="411"/>
    </row>
    <row r="4" spans="1:8">
      <c r="B4" s="4"/>
      <c r="C4" s="4"/>
      <c r="D4" s="4"/>
      <c r="E4" s="4"/>
      <c r="F4" s="4"/>
    </row>
    <row r="5" spans="1:8">
      <c r="A5" s="124" t="s">
        <v>0</v>
      </c>
      <c r="B5" s="96" t="s">
        <v>2</v>
      </c>
      <c r="C5" s="96" t="s">
        <v>3</v>
      </c>
      <c r="D5" s="96" t="s">
        <v>4</v>
      </c>
      <c r="E5" s="96" t="s">
        <v>5</v>
      </c>
      <c r="F5" s="96" t="s">
        <v>6</v>
      </c>
      <c r="G5" s="96" t="s">
        <v>169</v>
      </c>
      <c r="H5" s="96" t="s">
        <v>168</v>
      </c>
    </row>
    <row r="6" spans="1:8">
      <c r="A6" s="75" t="s">
        <v>127</v>
      </c>
      <c r="B6" s="73"/>
      <c r="C6" s="73"/>
      <c r="D6" s="73"/>
      <c r="E6" s="73"/>
      <c r="F6" s="73"/>
      <c r="G6" s="73"/>
      <c r="H6" s="73"/>
    </row>
    <row r="7" spans="1:8">
      <c r="A7" s="73"/>
      <c r="B7" s="73"/>
      <c r="C7" s="73"/>
      <c r="D7" s="73"/>
      <c r="E7" s="73"/>
      <c r="F7" s="73"/>
      <c r="G7" s="73"/>
      <c r="H7" s="73"/>
    </row>
    <row r="8" spans="1:8">
      <c r="A8" s="73" t="s">
        <v>501</v>
      </c>
      <c r="B8" s="74">
        <f>'12.Facility 1 - Trading'!D184</f>
        <v>60521852.159999989</v>
      </c>
      <c r="C8" s="74">
        <f>'12.Facility 1 - Trading'!E184</f>
        <v>69485505.264000013</v>
      </c>
      <c r="D8" s="74">
        <f>'12.Facility 1 - Trading'!F184</f>
        <v>78576391.807200015</v>
      </c>
      <c r="E8" s="74">
        <f>'12.Facility 1 - Trading'!G184</f>
        <v>88402653.241560012</v>
      </c>
      <c r="F8" s="74">
        <f>'12.Facility 1 - Trading'!H184</f>
        <v>99015099.839838043</v>
      </c>
      <c r="G8" s="74">
        <f>'12.Facility 1 - Trading'!I184</f>
        <v>110467784.46483998</v>
      </c>
      <c r="H8" s="74">
        <f>'12.Facility 1 - Trading'!J184</f>
        <v>122818199.80274245</v>
      </c>
    </row>
    <row r="9" spans="1:8">
      <c r="A9" s="73" t="s">
        <v>502</v>
      </c>
      <c r="B9" s="74">
        <f>'13.Facility 2 Grain Processing'!D146</f>
        <v>0</v>
      </c>
      <c r="C9" s="74">
        <f>'13.Facility 2 Grain Processing'!E146</f>
        <v>0</v>
      </c>
      <c r="D9" s="74">
        <f>'13.Facility 2 Grain Processing'!F146</f>
        <v>0</v>
      </c>
      <c r="E9" s="74">
        <f>'13.Facility 2 Grain Processing'!G146</f>
        <v>0</v>
      </c>
      <c r="F9" s="74">
        <f>'13.Facility 2 Grain Processing'!H146</f>
        <v>0</v>
      </c>
      <c r="G9" s="74">
        <f>'13.Facility 2 Grain Processing'!I146</f>
        <v>0</v>
      </c>
      <c r="H9" s="74">
        <f>'13.Facility 2 Grain Processing'!J146</f>
        <v>0</v>
      </c>
    </row>
    <row r="10" spans="1:8">
      <c r="A10" s="73" t="s">
        <v>503</v>
      </c>
      <c r="B10" s="74">
        <f>'14. Facility 3 Warehouse'!D23</f>
        <v>1028160</v>
      </c>
      <c r="C10" s="74">
        <f>'14. Facility 3 Warehouse'!E23</f>
        <v>1156680</v>
      </c>
      <c r="D10" s="74">
        <f>'14. Facility 3 Warehouse'!F23</f>
        <v>1295481.6000000001</v>
      </c>
      <c r="E10" s="74">
        <f>'14. Facility 3 Warehouse'!G23</f>
        <v>1445271.6600000004</v>
      </c>
      <c r="F10" s="74">
        <f>'14. Facility 3 Warehouse'!H23</f>
        <v>1606802.0220000006</v>
      </c>
      <c r="G10" s="74">
        <f>'14. Facility 3 Warehouse'!I23</f>
        <v>1780872.241050001</v>
      </c>
      <c r="H10" s="74">
        <f>'14. Facility 3 Warehouse'!J23</f>
        <v>1968332.4769500012</v>
      </c>
    </row>
    <row r="11" spans="1:8">
      <c r="A11" s="73" t="s">
        <v>504</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row>
    <row r="12" spans="1:8">
      <c r="A12" s="73" t="s">
        <v>500</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row>
    <row r="13" spans="1:8">
      <c r="A13" s="73" t="s">
        <v>525</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row>
    <row r="14" spans="1:8">
      <c r="A14" s="73"/>
      <c r="B14" s="74"/>
      <c r="C14" s="74"/>
      <c r="D14" s="74"/>
      <c r="E14" s="74"/>
      <c r="F14" s="74"/>
      <c r="G14" s="74"/>
      <c r="H14" s="74"/>
    </row>
    <row r="15" spans="1:8">
      <c r="A15" s="75" t="s">
        <v>144</v>
      </c>
      <c r="B15" s="91">
        <f>SUM(B8:B14)</f>
        <v>61550012.159999989</v>
      </c>
      <c r="C15" s="91">
        <f t="shared" ref="C15:H15" si="0">SUM(C8:C14)</f>
        <v>70642185.264000013</v>
      </c>
      <c r="D15" s="91">
        <f t="shared" si="0"/>
        <v>79871873.407200009</v>
      </c>
      <c r="E15" s="91">
        <f t="shared" si="0"/>
        <v>89847924.901560009</v>
      </c>
      <c r="F15" s="91">
        <f t="shared" si="0"/>
        <v>100621901.86183804</v>
      </c>
      <c r="G15" s="91">
        <f t="shared" si="0"/>
        <v>112248656.70588998</v>
      </c>
      <c r="H15" s="91">
        <f t="shared" si="0"/>
        <v>124786532.27969246</v>
      </c>
    </row>
    <row r="16" spans="1:8">
      <c r="A16" s="73"/>
      <c r="B16" s="74"/>
      <c r="C16" s="74"/>
      <c r="D16" s="74"/>
      <c r="E16" s="74"/>
      <c r="F16" s="74"/>
      <c r="G16" s="74"/>
      <c r="H16" s="74"/>
    </row>
    <row r="17" spans="1:8">
      <c r="A17" s="75" t="s">
        <v>307</v>
      </c>
      <c r="B17" s="74"/>
      <c r="C17" s="74"/>
      <c r="D17" s="74"/>
      <c r="E17" s="74"/>
      <c r="F17" s="74"/>
      <c r="G17" s="74"/>
      <c r="H17" s="74"/>
    </row>
    <row r="18" spans="1:8">
      <c r="A18" s="73" t="str">
        <f t="shared" ref="A18:A23" si="1">A8</f>
        <v>Faclitiy 1 - Cleaning &amp; Grading</v>
      </c>
      <c r="B18" s="74">
        <f>'12.Facility 1 - Trading'!D202</f>
        <v>57248104.32</v>
      </c>
      <c r="C18" s="74">
        <f>'12.Facility 1 - Trading'!E202</f>
        <v>65697982.344000004</v>
      </c>
      <c r="D18" s="74">
        <f>'12.Facility 1 - Trading'!F202</f>
        <v>74293149.117600024</v>
      </c>
      <c r="E18" s="74">
        <f>'12.Facility 1 - Trading'!G202</f>
        <v>83583587.612700015</v>
      </c>
      <c r="F18" s="74">
        <f>'12.Facility 1 - Trading'!H202</f>
        <v>93617337.084516034</v>
      </c>
      <c r="G18" s="74">
        <f>'12.Facility 1 - Trading'!I202</f>
        <v>104445502.53448187</v>
      </c>
      <c r="H18" s="74">
        <f>'12.Facility 1 - Trading'!J202</f>
        <v>116122441.1867331</v>
      </c>
    </row>
    <row r="19" spans="1:8">
      <c r="A19" s="73" t="str">
        <f t="shared" si="1"/>
        <v>Faclitiy 2 - Processing Unit- Dal Mill</v>
      </c>
      <c r="B19" s="74">
        <f>'13.Facility 2 Grain Processing'!D167</f>
        <v>0</v>
      </c>
      <c r="C19" s="74">
        <f>'13.Facility 2 Grain Processing'!E167</f>
        <v>0</v>
      </c>
      <c r="D19" s="74">
        <f>'13.Facility 2 Grain Processing'!F167</f>
        <v>0</v>
      </c>
      <c r="E19" s="74">
        <f>'13.Facility 2 Grain Processing'!G167</f>
        <v>0</v>
      </c>
      <c r="F19" s="74">
        <f>'13.Facility 2 Grain Processing'!H167</f>
        <v>0</v>
      </c>
      <c r="G19" s="74">
        <f>'13.Facility 2 Grain Processing'!I167</f>
        <v>0</v>
      </c>
      <c r="H19" s="74">
        <f>'13.Facility 2 Grain Processing'!J167</f>
        <v>0</v>
      </c>
    </row>
    <row r="20" spans="1:8">
      <c r="A20" s="73" t="str">
        <f t="shared" si="1"/>
        <v>Faclitiy 3 - Warehouse</v>
      </c>
      <c r="B20" s="74">
        <f>'14. Facility 3 Warehouse'!D34</f>
        <v>324180</v>
      </c>
      <c r="C20" s="74">
        <f>'14. Facility 3 Warehouse'!E34</f>
        <v>345208.5</v>
      </c>
      <c r="D20" s="74">
        <f>'14. Facility 3 Warehouse'!F34</f>
        <v>367529.4</v>
      </c>
      <c r="E20" s="74">
        <f>'14. Facility 3 Warehouse'!G34</f>
        <v>391219.36875000002</v>
      </c>
      <c r="F20" s="74">
        <f>'14. Facility 3 Warehouse'!H34</f>
        <v>416359.51087500015</v>
      </c>
      <c r="G20" s="74">
        <f>'14. Facility 3 Warehouse'!I34</f>
        <v>443035.61879062513</v>
      </c>
      <c r="H20" s="74">
        <f>'14. Facility 3 Warehouse'!J34</f>
        <v>471338.43872062513</v>
      </c>
    </row>
    <row r="21" spans="1:8">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8">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8">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8">
      <c r="A24" s="73"/>
      <c r="B24" s="74"/>
      <c r="C24" s="74"/>
      <c r="D24" s="74"/>
      <c r="E24" s="74"/>
      <c r="F24" s="74"/>
      <c r="G24" s="74"/>
      <c r="H24" s="74"/>
    </row>
    <row r="25" spans="1:8">
      <c r="A25" s="75" t="s">
        <v>314</v>
      </c>
      <c r="B25" s="91">
        <f>SUM(B18:B24)</f>
        <v>57572284.32</v>
      </c>
      <c r="C25" s="91">
        <f t="shared" ref="C25:H25" si="2">SUM(C18:C24)</f>
        <v>66043190.844000004</v>
      </c>
      <c r="D25" s="91">
        <f t="shared" si="2"/>
        <v>74660678.51760003</v>
      </c>
      <c r="E25" s="91">
        <f t="shared" si="2"/>
        <v>83974806.981450021</v>
      </c>
      <c r="F25" s="91">
        <f t="shared" si="2"/>
        <v>94033696.595391035</v>
      </c>
      <c r="G25" s="91">
        <f t="shared" si="2"/>
        <v>104888538.15327249</v>
      </c>
      <c r="H25" s="91">
        <f t="shared" si="2"/>
        <v>116593779.62545373</v>
      </c>
    </row>
    <row r="26" spans="1:8">
      <c r="A26" s="73"/>
      <c r="B26" s="74"/>
      <c r="C26" s="74"/>
      <c r="D26" s="74"/>
      <c r="E26" s="74"/>
      <c r="F26" s="74"/>
      <c r="G26" s="74"/>
      <c r="H26" s="74"/>
    </row>
    <row r="27" spans="1:8">
      <c r="A27" s="75" t="s">
        <v>306</v>
      </c>
      <c r="B27" s="74"/>
      <c r="C27" s="74"/>
      <c r="D27" s="74"/>
      <c r="E27" s="74"/>
      <c r="F27" s="74"/>
      <c r="G27" s="74"/>
      <c r="H27" s="74"/>
    </row>
    <row r="28" spans="1:8">
      <c r="A28" s="73" t="str">
        <f t="shared" ref="A28:A33" si="3">A18</f>
        <v>Faclitiy 1 - Cleaning &amp; Grading</v>
      </c>
      <c r="B28" s="74">
        <f>'12.Facility 1 - Trading'!D209</f>
        <v>96000</v>
      </c>
      <c r="C28" s="74">
        <f>'12.Facility 1 - Trading'!E209</f>
        <v>100800</v>
      </c>
      <c r="D28" s="74">
        <f>'12.Facility 1 - Trading'!F209</f>
        <v>105840</v>
      </c>
      <c r="E28" s="74">
        <f>'12.Facility 1 - Trading'!G209</f>
        <v>111132.00000000001</v>
      </c>
      <c r="F28" s="74">
        <f>'12.Facility 1 - Trading'!H209</f>
        <v>116688.60000000002</v>
      </c>
      <c r="G28" s="74">
        <f>'12.Facility 1 - Trading'!I209</f>
        <v>122523.03000000003</v>
      </c>
      <c r="H28" s="74">
        <f>'12.Facility 1 - Trading'!J209</f>
        <v>128649.18150000004</v>
      </c>
    </row>
    <row r="29" spans="1:8">
      <c r="A29" s="73" t="str">
        <f t="shared" si="3"/>
        <v>Faclitiy 2 - Processing Unit- Dal Mill</v>
      </c>
      <c r="B29" s="74">
        <f>'13.Facility 2 Grain Processing'!D174</f>
        <v>0</v>
      </c>
      <c r="C29" s="74">
        <f>'13.Facility 2 Grain Processing'!E174</f>
        <v>0</v>
      </c>
      <c r="D29" s="74">
        <f>'13.Facility 2 Grain Processing'!F174</f>
        <v>0</v>
      </c>
      <c r="E29" s="74">
        <f>'13.Facility 2 Grain Processing'!G174</f>
        <v>0</v>
      </c>
      <c r="F29" s="74">
        <f>'13.Facility 2 Grain Processing'!H174</f>
        <v>0</v>
      </c>
      <c r="G29" s="74">
        <f>'13.Facility 2 Grain Processing'!I174</f>
        <v>0</v>
      </c>
      <c r="H29" s="74">
        <f>'13.Facility 2 Grain Processing'!J174</f>
        <v>0</v>
      </c>
    </row>
    <row r="30" spans="1:8">
      <c r="A30" s="73" t="str">
        <f t="shared" si="3"/>
        <v>Faclitiy 3 -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8">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8">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8">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8">
      <c r="A34" s="73"/>
      <c r="B34" s="74"/>
      <c r="C34" s="74"/>
      <c r="D34" s="74"/>
      <c r="E34" s="74"/>
      <c r="F34" s="74"/>
      <c r="G34" s="74"/>
      <c r="H34" s="74"/>
    </row>
    <row r="35" spans="1:8">
      <c r="A35" s="73" t="s">
        <v>9</v>
      </c>
      <c r="B35" s="74">
        <f>'3.Other Exp &amp; Taxes'!E23</f>
        <v>494000</v>
      </c>
      <c r="C35" s="74">
        <f>'3.Other Exp &amp; Taxes'!F23</f>
        <v>518700</v>
      </c>
      <c r="D35" s="74">
        <f>'3.Other Exp &amp; Taxes'!G23</f>
        <v>544635</v>
      </c>
      <c r="E35" s="74">
        <f>'3.Other Exp &amp; Taxes'!H23</f>
        <v>571866.75000000012</v>
      </c>
      <c r="F35" s="74">
        <f>'3.Other Exp &amp; Taxes'!I23</f>
        <v>600460.08750000014</v>
      </c>
      <c r="G35" s="74">
        <f>'3.Other Exp &amp; Taxes'!J23</f>
        <v>630483.09187500016</v>
      </c>
      <c r="H35" s="74">
        <f>'3.Other Exp &amp; Taxes'!K23</f>
        <v>662007.24646875018</v>
      </c>
    </row>
    <row r="36" spans="1:8">
      <c r="A36" s="75" t="s">
        <v>318</v>
      </c>
      <c r="B36" s="91">
        <f t="shared" ref="B36:H36" si="4">SUM(B28:B35)</f>
        <v>710000</v>
      </c>
      <c r="C36" s="91">
        <f t="shared" si="4"/>
        <v>745500</v>
      </c>
      <c r="D36" s="91">
        <f t="shared" si="4"/>
        <v>782775</v>
      </c>
      <c r="E36" s="91">
        <f t="shared" si="4"/>
        <v>821913.75000000023</v>
      </c>
      <c r="F36" s="91">
        <f t="shared" si="4"/>
        <v>863009.43750000023</v>
      </c>
      <c r="G36" s="91">
        <f t="shared" si="4"/>
        <v>906159.90937500028</v>
      </c>
      <c r="H36" s="91">
        <f t="shared" si="4"/>
        <v>951467.90484375029</v>
      </c>
    </row>
    <row r="37" spans="1:8">
      <c r="A37" s="73"/>
      <c r="B37" s="74"/>
      <c r="C37" s="74"/>
      <c r="D37" s="74"/>
      <c r="E37" s="74"/>
      <c r="F37" s="74"/>
      <c r="G37" s="74"/>
      <c r="H37" s="74"/>
    </row>
    <row r="38" spans="1:8">
      <c r="A38" s="75" t="s">
        <v>323</v>
      </c>
      <c r="B38" s="91">
        <f t="shared" ref="B38:H38" si="5">B25+B36</f>
        <v>58282284.32</v>
      </c>
      <c r="C38" s="91">
        <f t="shared" si="5"/>
        <v>66788690.844000004</v>
      </c>
      <c r="D38" s="91">
        <f t="shared" si="5"/>
        <v>75443453.51760003</v>
      </c>
      <c r="E38" s="91">
        <f t="shared" si="5"/>
        <v>84796720.731450021</v>
      </c>
      <c r="F38" s="91">
        <f t="shared" si="5"/>
        <v>94896706.032891035</v>
      </c>
      <c r="G38" s="91">
        <f t="shared" si="5"/>
        <v>105794698.06264749</v>
      </c>
      <c r="H38" s="91">
        <f t="shared" si="5"/>
        <v>117545247.53029747</v>
      </c>
    </row>
    <row r="39" spans="1:8">
      <c r="A39" s="73"/>
      <c r="B39" s="74"/>
      <c r="C39" s="74"/>
      <c r="D39" s="74"/>
      <c r="E39" s="74"/>
      <c r="F39" s="74"/>
      <c r="G39" s="74"/>
      <c r="H39" s="74"/>
    </row>
    <row r="40" spans="1:8">
      <c r="A40" s="75" t="s">
        <v>137</v>
      </c>
      <c r="B40" s="91">
        <f t="shared" ref="B40:H40" si="6">B15-B38</f>
        <v>3267727.8399999887</v>
      </c>
      <c r="C40" s="91">
        <f t="shared" si="6"/>
        <v>3853494.4200000092</v>
      </c>
      <c r="D40" s="91">
        <f t="shared" si="6"/>
        <v>4428419.8895999789</v>
      </c>
      <c r="E40" s="91">
        <f t="shared" si="6"/>
        <v>5051204.1701099873</v>
      </c>
      <c r="F40" s="91">
        <f t="shared" si="6"/>
        <v>5725195.8289470077</v>
      </c>
      <c r="G40" s="91">
        <f t="shared" si="6"/>
        <v>6453958.6432424933</v>
      </c>
      <c r="H40" s="91">
        <f t="shared" si="6"/>
        <v>7241284.7493949831</v>
      </c>
    </row>
    <row r="41" spans="1:8">
      <c r="A41" s="73"/>
      <c r="B41" s="74"/>
      <c r="C41" s="74"/>
      <c r="D41" s="74"/>
      <c r="E41" s="74"/>
      <c r="F41" s="74"/>
      <c r="G41" s="74"/>
      <c r="H41" s="74"/>
    </row>
    <row r="42" spans="1:8">
      <c r="A42" s="73" t="s">
        <v>17</v>
      </c>
      <c r="B42" s="74">
        <f>'3.Other Exp &amp; Taxes'!C66</f>
        <v>544435.74297999998</v>
      </c>
      <c r="C42" s="74">
        <f>'3.Other Exp &amp; Taxes'!D66</f>
        <v>544435.74297999998</v>
      </c>
      <c r="D42" s="74">
        <f>'3.Other Exp &amp; Taxes'!E66</f>
        <v>544435.74297999998</v>
      </c>
      <c r="E42" s="74">
        <f>'3.Other Exp &amp; Taxes'!F66</f>
        <v>544435.74297999998</v>
      </c>
      <c r="F42" s="74">
        <f>'3.Other Exp &amp; Taxes'!G66</f>
        <v>544435.74297999998</v>
      </c>
      <c r="G42" s="74">
        <f>'3.Other Exp &amp; Taxes'!H66</f>
        <v>544435.74297999998</v>
      </c>
      <c r="H42" s="74">
        <f>'3.Other Exp &amp; Taxes'!I66</f>
        <v>544435.74297999998</v>
      </c>
    </row>
    <row r="43" spans="1:8">
      <c r="A43" s="73" t="s">
        <v>138</v>
      </c>
      <c r="B43" s="74">
        <f>'3.Other Exp &amp; Taxes'!C87</f>
        <v>14832</v>
      </c>
      <c r="C43" s="74">
        <f>'3.Other Exp &amp; Taxes'!D87</f>
        <v>14832</v>
      </c>
      <c r="D43" s="74">
        <f>'3.Other Exp &amp; Taxes'!E87</f>
        <v>14832</v>
      </c>
      <c r="E43" s="74">
        <f>'3.Other Exp &amp; Taxes'!F87</f>
        <v>14832</v>
      </c>
      <c r="F43" s="74">
        <f>'3.Other Exp &amp; Taxes'!G87</f>
        <v>14832</v>
      </c>
      <c r="G43" s="74">
        <f>'3.Other Exp &amp; Taxes'!H87</f>
        <v>0</v>
      </c>
      <c r="H43" s="74">
        <f>'3.Other Exp &amp; Taxes'!I87</f>
        <v>0</v>
      </c>
    </row>
    <row r="44" spans="1:8">
      <c r="A44" s="73"/>
      <c r="B44" s="74"/>
      <c r="C44" s="74"/>
      <c r="D44" s="74"/>
      <c r="E44" s="74"/>
      <c r="F44" s="74"/>
      <c r="G44" s="74"/>
      <c r="H44" s="74"/>
    </row>
    <row r="45" spans="1:8">
      <c r="A45" s="75" t="s">
        <v>139</v>
      </c>
      <c r="B45" s="91">
        <f>B40-B42-B43</f>
        <v>2708460.0970199886</v>
      </c>
      <c r="C45" s="91">
        <f t="shared" ref="C45:H45" si="7">C40-C42-C43</f>
        <v>3294226.6770200091</v>
      </c>
      <c r="D45" s="91">
        <f t="shared" si="7"/>
        <v>3869152.1466199788</v>
      </c>
      <c r="E45" s="91">
        <f t="shared" si="7"/>
        <v>4491936.4271299876</v>
      </c>
      <c r="F45" s="91">
        <f t="shared" si="7"/>
        <v>5165928.085967008</v>
      </c>
      <c r="G45" s="91">
        <f t="shared" si="7"/>
        <v>5909522.9002624936</v>
      </c>
      <c r="H45" s="91">
        <f t="shared" si="7"/>
        <v>6696849.0064149834</v>
      </c>
    </row>
    <row r="46" spans="1:8">
      <c r="A46" s="73"/>
      <c r="B46" s="74"/>
      <c r="C46" s="74"/>
      <c r="D46" s="74"/>
      <c r="E46" s="74"/>
      <c r="F46" s="74"/>
      <c r="G46" s="74"/>
      <c r="H46" s="74"/>
    </row>
    <row r="47" spans="1:8">
      <c r="A47" s="73" t="s">
        <v>707</v>
      </c>
      <c r="B47" s="74" t="e">
        <f>SUM(D76:D87)+'8.Cash Flow '!C29</f>
        <v>#REF!</v>
      </c>
      <c r="C47" s="74" t="e">
        <f>SUM(D88:D99)+'8.Cash Flow '!D29</f>
        <v>#REF!</v>
      </c>
      <c r="D47" s="74" t="e">
        <f>SUM(D100:D111)+'8.Cash Flow '!E29</f>
        <v>#REF!</v>
      </c>
      <c r="E47" s="74" t="e">
        <f>SUM(D112:D123)+'8.Cash Flow '!F29</f>
        <v>#REF!</v>
      </c>
      <c r="F47" s="74" t="e">
        <f>SUM(D124:D135)+'8.Cash Flow '!G29</f>
        <v>#REF!</v>
      </c>
      <c r="G47" s="74" t="e">
        <f>SUM(D136:D147)+'8.Cash Flow '!H29</f>
        <v>#REF!</v>
      </c>
      <c r="H47" s="74" t="e">
        <f>SUM(D148:D159)+'8.Cash Flow '!I29</f>
        <v>#REF!</v>
      </c>
    </row>
    <row r="48" spans="1:8">
      <c r="A48" s="73"/>
      <c r="B48" s="74"/>
      <c r="C48" s="74"/>
      <c r="D48" s="74"/>
      <c r="E48" s="74"/>
      <c r="F48" s="74"/>
      <c r="G48" s="74"/>
      <c r="H48" s="74"/>
    </row>
    <row r="49" spans="1:8">
      <c r="A49" s="73" t="s">
        <v>25</v>
      </c>
      <c r="B49" s="74" t="e">
        <f>B45-B47</f>
        <v>#REF!</v>
      </c>
      <c r="C49" s="74" t="e">
        <f t="shared" ref="C49:H49" si="8">C45-C47</f>
        <v>#REF!</v>
      </c>
      <c r="D49" s="74" t="e">
        <f t="shared" si="8"/>
        <v>#REF!</v>
      </c>
      <c r="E49" s="74" t="e">
        <f t="shared" si="8"/>
        <v>#REF!</v>
      </c>
      <c r="F49" s="74" t="e">
        <f t="shared" si="8"/>
        <v>#REF!</v>
      </c>
      <c r="G49" s="74" t="e">
        <f t="shared" si="8"/>
        <v>#REF!</v>
      </c>
      <c r="H49" s="74" t="e">
        <f t="shared" si="8"/>
        <v>#REF!</v>
      </c>
    </row>
    <row r="50" spans="1:8">
      <c r="A50" s="73" t="s">
        <v>26</v>
      </c>
      <c r="B50" s="323" t="e">
        <f>B61</f>
        <v>#REF!</v>
      </c>
      <c r="C50" s="323" t="e">
        <f t="shared" ref="C50:H50" si="9">C61</f>
        <v>#REF!</v>
      </c>
      <c r="D50" s="323" t="e">
        <f t="shared" si="9"/>
        <v>#REF!</v>
      </c>
      <c r="E50" s="323" t="e">
        <f t="shared" si="9"/>
        <v>#REF!</v>
      </c>
      <c r="F50" s="323" t="e">
        <f t="shared" si="9"/>
        <v>#REF!</v>
      </c>
      <c r="G50" s="323" t="e">
        <f t="shared" si="9"/>
        <v>#REF!</v>
      </c>
      <c r="H50" s="323" t="e">
        <f t="shared" si="9"/>
        <v>#REF!</v>
      </c>
    </row>
    <row r="51" spans="1:8">
      <c r="A51" s="75" t="s">
        <v>28</v>
      </c>
      <c r="B51" s="74" t="e">
        <f>B49-B50</f>
        <v>#REF!</v>
      </c>
      <c r="C51" s="74" t="e">
        <f>C49-C50</f>
        <v>#REF!</v>
      </c>
      <c r="D51" s="74" t="e">
        <f>D49-D50</f>
        <v>#REF!</v>
      </c>
      <c r="E51" s="74" t="e">
        <f>E49-E50</f>
        <v>#REF!</v>
      </c>
      <c r="F51" s="74" t="e">
        <f>F49-F50</f>
        <v>#REF!</v>
      </c>
      <c r="G51" s="74" t="e">
        <f t="shared" ref="G51:H51" si="10">G49-G50</f>
        <v>#REF!</v>
      </c>
      <c r="H51" s="74" t="e">
        <f t="shared" si="10"/>
        <v>#REF!</v>
      </c>
    </row>
    <row r="53" spans="1:8">
      <c r="A53" s="24"/>
      <c r="B53" s="25"/>
      <c r="C53" s="25"/>
      <c r="D53" s="25"/>
      <c r="E53" s="25"/>
      <c r="F53" s="25"/>
      <c r="G53" s="25"/>
      <c r="H53" s="25"/>
    </row>
    <row r="54" spans="1:8" ht="17.5">
      <c r="A54" s="422" t="s">
        <v>552</v>
      </c>
      <c r="B54" s="422"/>
      <c r="C54" s="422"/>
      <c r="D54" s="422"/>
      <c r="E54" s="422"/>
      <c r="F54" s="422"/>
      <c r="G54" s="422"/>
      <c r="H54" s="422"/>
    </row>
    <row r="55" spans="1:8">
      <c r="A55" s="26"/>
      <c r="B55" s="25"/>
      <c r="C55" s="25"/>
      <c r="D55" s="25"/>
      <c r="E55" s="25"/>
      <c r="F55" s="25"/>
      <c r="G55" s="25"/>
      <c r="H55" s="25"/>
    </row>
    <row r="56" spans="1:8">
      <c r="A56" s="124" t="s">
        <v>0</v>
      </c>
      <c r="B56" s="96" t="s">
        <v>2</v>
      </c>
      <c r="C56" s="96" t="s">
        <v>3</v>
      </c>
      <c r="D56" s="96" t="s">
        <v>4</v>
      </c>
      <c r="E56" s="96" t="s">
        <v>5</v>
      </c>
      <c r="F56" s="96" t="s">
        <v>6</v>
      </c>
      <c r="G56" s="96" t="s">
        <v>169</v>
      </c>
      <c r="H56" s="96" t="s">
        <v>168</v>
      </c>
    </row>
    <row r="57" spans="1:8">
      <c r="A57" s="59" t="s">
        <v>224</v>
      </c>
      <c r="B57" s="127" t="e">
        <f>B49</f>
        <v>#REF!</v>
      </c>
      <c r="C57" s="127" t="e">
        <f t="shared" ref="C57:H57" si="11">C49</f>
        <v>#REF!</v>
      </c>
      <c r="D57" s="127" t="e">
        <f t="shared" si="11"/>
        <v>#REF!</v>
      </c>
      <c r="E57" s="127" t="e">
        <f t="shared" si="11"/>
        <v>#REF!</v>
      </c>
      <c r="F57" s="127" t="e">
        <f t="shared" si="11"/>
        <v>#REF!</v>
      </c>
      <c r="G57" s="127" t="e">
        <f t="shared" si="11"/>
        <v>#REF!</v>
      </c>
      <c r="H57" s="127" t="e">
        <f t="shared" si="11"/>
        <v>#REF!</v>
      </c>
    </row>
    <row r="58" spans="1:8">
      <c r="A58" s="59" t="s">
        <v>225</v>
      </c>
      <c r="B58" s="127">
        <f>B42</f>
        <v>544435.74297999998</v>
      </c>
      <c r="C58" s="127">
        <f t="shared" ref="C58:H58" si="12">C42</f>
        <v>544435.74297999998</v>
      </c>
      <c r="D58" s="127">
        <f t="shared" si="12"/>
        <v>544435.74297999998</v>
      </c>
      <c r="E58" s="127">
        <f t="shared" si="12"/>
        <v>544435.74297999998</v>
      </c>
      <c r="F58" s="127">
        <f t="shared" si="12"/>
        <v>544435.74297999998</v>
      </c>
      <c r="G58" s="127">
        <f t="shared" si="12"/>
        <v>544435.74297999998</v>
      </c>
      <c r="H58" s="127">
        <f t="shared" si="12"/>
        <v>544435.74297999998</v>
      </c>
    </row>
    <row r="59" spans="1:8">
      <c r="A59" s="59" t="s">
        <v>226</v>
      </c>
      <c r="B59" s="127">
        <f>'3.Other Exp &amp; Taxes'!K66</f>
        <v>1625517.84</v>
      </c>
      <c r="C59" s="127">
        <f>'3.Other Exp &amp; Taxes'!L66</f>
        <v>1425803.679</v>
      </c>
      <c r="D59" s="127">
        <f>'3.Other Exp &amp; Taxes'!M66</f>
        <v>1259039.8906500002</v>
      </c>
      <c r="E59" s="127">
        <f>'3.Other Exp &amp; Taxes'!N66</f>
        <v>1117022.7542024998</v>
      </c>
      <c r="F59" s="127">
        <f>'3.Other Exp &amp; Taxes'!O66</f>
        <v>994289.95950712496</v>
      </c>
      <c r="G59" s="127">
        <f>'3.Other Exp &amp; Taxes'!P66</f>
        <v>887084.41577255621</v>
      </c>
      <c r="H59" s="127">
        <f>'3.Other Exp &amp; Taxes'!Q66</f>
        <v>792725.54473902273</v>
      </c>
    </row>
    <row r="60" spans="1:8">
      <c r="A60" s="59" t="s">
        <v>287</v>
      </c>
      <c r="B60" s="127" t="e">
        <f t="shared" ref="B60:H60" si="13">B57+B58-B59</f>
        <v>#REF!</v>
      </c>
      <c r="C60" s="127" t="e">
        <f t="shared" si="13"/>
        <v>#REF!</v>
      </c>
      <c r="D60" s="127" t="e">
        <f t="shared" si="13"/>
        <v>#REF!</v>
      </c>
      <c r="E60" s="127" t="e">
        <f t="shared" si="13"/>
        <v>#REF!</v>
      </c>
      <c r="F60" s="127" t="e">
        <f t="shared" si="13"/>
        <v>#REF!</v>
      </c>
      <c r="G60" s="127" t="e">
        <f t="shared" si="13"/>
        <v>#REF!</v>
      </c>
      <c r="H60" s="127" t="e">
        <f t="shared" si="13"/>
        <v>#REF!</v>
      </c>
    </row>
    <row r="61" spans="1:8">
      <c r="A61" s="61" t="s">
        <v>227</v>
      </c>
      <c r="B61" s="322" t="e">
        <f>IF(B60&gt;0,B60*$B$64,"0")</f>
        <v>#REF!</v>
      </c>
      <c r="C61" s="128" t="e">
        <f>IF(C60&gt;0,C60*$B$64,"0")</f>
        <v>#REF!</v>
      </c>
      <c r="D61" s="128" t="e">
        <f>IF(D60&gt;0,D60*$B$64,"0")</f>
        <v>#REF!</v>
      </c>
      <c r="E61" s="128" t="e">
        <f t="shared" ref="E61:H61" si="14">IF(E60&gt;0,E60*$B$64,"0")</f>
        <v>#REF!</v>
      </c>
      <c r="F61" s="128" t="e">
        <f t="shared" si="14"/>
        <v>#REF!</v>
      </c>
      <c r="G61" s="128" t="e">
        <f t="shared" si="14"/>
        <v>#REF!</v>
      </c>
      <c r="H61" s="128" t="e">
        <f t="shared" si="14"/>
        <v>#REF!</v>
      </c>
    </row>
    <row r="62" spans="1:8">
      <c r="A62" s="27"/>
      <c r="B62" s="25"/>
      <c r="C62" s="25"/>
      <c r="D62" s="25"/>
      <c r="E62" s="25"/>
      <c r="F62" s="25"/>
      <c r="G62" s="25"/>
      <c r="H62" s="25"/>
    </row>
    <row r="63" spans="1:8">
      <c r="A63" s="27"/>
      <c r="B63" s="29"/>
      <c r="C63" s="29"/>
      <c r="D63" s="29"/>
      <c r="E63" s="29"/>
      <c r="F63" s="29"/>
      <c r="G63" s="29"/>
      <c r="H63" s="29"/>
    </row>
    <row r="64" spans="1:8">
      <c r="A64" s="30" t="s">
        <v>383</v>
      </c>
      <c r="B64" s="236">
        <v>0.26</v>
      </c>
      <c r="C64" s="29"/>
      <c r="D64" s="29"/>
      <c r="E64" s="29"/>
      <c r="F64" s="29"/>
      <c r="G64" s="29"/>
      <c r="H64" s="29"/>
    </row>
    <row r="65" spans="1:8">
      <c r="A65" s="25"/>
      <c r="B65" s="25"/>
      <c r="C65" s="25"/>
      <c r="D65" s="25"/>
      <c r="E65" s="25"/>
      <c r="F65" s="25"/>
      <c r="G65" s="25"/>
      <c r="H65" s="25"/>
    </row>
    <row r="66" spans="1:8">
      <c r="A66" s="423" t="s">
        <v>414</v>
      </c>
      <c r="B66" s="423"/>
      <c r="C66" s="423"/>
      <c r="D66" s="423"/>
      <c r="E66" s="423"/>
      <c r="F66" s="423"/>
      <c r="G66" s="423"/>
      <c r="H66" s="423"/>
    </row>
    <row r="68" spans="1:8" ht="17.5">
      <c r="A68" s="411" t="s">
        <v>553</v>
      </c>
      <c r="B68" s="411"/>
      <c r="C68" s="411"/>
      <c r="D68" s="411"/>
      <c r="E68" s="411"/>
      <c r="F68" s="411"/>
      <c r="G68" s="429"/>
    </row>
    <row r="69" spans="1:8" ht="14.5" customHeight="1">
      <c r="B69" s="13"/>
      <c r="C69" s="13"/>
      <c r="D69" s="13"/>
      <c r="E69" s="13"/>
      <c r="F69" s="13"/>
      <c r="G69" s="13"/>
    </row>
    <row r="70" spans="1:8">
      <c r="A70" s="72" t="s">
        <v>456</v>
      </c>
      <c r="B70" s="88" t="e">
        <f>'1.Project Cost and MOF'!#REF!</f>
        <v>#REF!</v>
      </c>
      <c r="E70" s="72"/>
      <c r="F70" s="72"/>
      <c r="G70" s="72"/>
    </row>
    <row r="71" spans="1:8">
      <c r="A71" s="72" t="s">
        <v>457</v>
      </c>
      <c r="B71" s="231">
        <v>0.12</v>
      </c>
      <c r="E71" s="72"/>
      <c r="F71" s="72"/>
      <c r="G71" s="72"/>
    </row>
    <row r="72" spans="1:8" ht="14.5" customHeight="1">
      <c r="A72" s="72" t="s">
        <v>458</v>
      </c>
      <c r="B72" s="232">
        <v>7</v>
      </c>
      <c r="E72" s="72"/>
      <c r="F72" s="72"/>
      <c r="G72" s="72"/>
    </row>
    <row r="73" spans="1:8">
      <c r="A73" s="72" t="s">
        <v>459</v>
      </c>
      <c r="B73" s="232">
        <v>6</v>
      </c>
      <c r="E73" s="72"/>
      <c r="F73" s="72"/>
      <c r="G73" s="72"/>
    </row>
    <row r="74" spans="1:8">
      <c r="A74" s="72" t="s">
        <v>22</v>
      </c>
      <c r="B74" s="175" t="e">
        <f>PMT(B71/12,(B72-(B73/12))*12,-B70)</f>
        <v>#REF!</v>
      </c>
      <c r="E74" s="175"/>
      <c r="F74" s="221"/>
      <c r="G74" s="72"/>
    </row>
    <row r="75" spans="1:8">
      <c r="A75" s="124" t="s">
        <v>288</v>
      </c>
      <c r="B75" s="176" t="s">
        <v>18</v>
      </c>
      <c r="C75" s="177" t="s">
        <v>19</v>
      </c>
      <c r="D75" s="177" t="s">
        <v>20</v>
      </c>
      <c r="E75" s="177" t="s">
        <v>21</v>
      </c>
      <c r="F75" s="177" t="s">
        <v>22</v>
      </c>
      <c r="G75" s="177" t="s">
        <v>23</v>
      </c>
    </row>
    <row r="76" spans="1:8">
      <c r="A76" s="73" t="s">
        <v>11</v>
      </c>
      <c r="B76" s="73" t="s">
        <v>52</v>
      </c>
      <c r="C76" s="74" t="e">
        <f>B70</f>
        <v>#REF!</v>
      </c>
      <c r="D76" s="74" t="e">
        <f>C76*$B$71/12</f>
        <v>#REF!</v>
      </c>
      <c r="E76" s="74" t="e">
        <f t="shared" ref="E76:E81" si="15">F76-D76</f>
        <v>#REF!</v>
      </c>
      <c r="F76" s="74" t="e">
        <f>D76</f>
        <v>#REF!</v>
      </c>
      <c r="G76" s="74" t="e">
        <f>C76-E76</f>
        <v>#REF!</v>
      </c>
    </row>
    <row r="77" spans="1:8">
      <c r="A77" s="73"/>
      <c r="B77" s="73" t="s">
        <v>53</v>
      </c>
      <c r="C77" s="74" t="e">
        <f>G76</f>
        <v>#REF!</v>
      </c>
      <c r="D77" s="74" t="e">
        <f t="shared" ref="D77:D140" si="16">C77*$B$71/12</f>
        <v>#REF!</v>
      </c>
      <c r="E77" s="74" t="e">
        <f t="shared" si="15"/>
        <v>#REF!</v>
      </c>
      <c r="F77" s="74" t="e">
        <f t="shared" ref="F77:F81" si="17">D77</f>
        <v>#REF!</v>
      </c>
      <c r="G77" s="74" t="e">
        <f t="shared" ref="G77:G140" si="18">C77-E77</f>
        <v>#REF!</v>
      </c>
    </row>
    <row r="78" spans="1:8">
      <c r="A78" s="73"/>
      <c r="B78" s="73" t="s">
        <v>54</v>
      </c>
      <c r="C78" s="74" t="e">
        <f t="shared" ref="C78:C141" si="19">G77</f>
        <v>#REF!</v>
      </c>
      <c r="D78" s="74" t="e">
        <f t="shared" si="16"/>
        <v>#REF!</v>
      </c>
      <c r="E78" s="74" t="e">
        <f t="shared" si="15"/>
        <v>#REF!</v>
      </c>
      <c r="F78" s="74" t="e">
        <f t="shared" si="17"/>
        <v>#REF!</v>
      </c>
      <c r="G78" s="74" t="e">
        <f t="shared" si="18"/>
        <v>#REF!</v>
      </c>
    </row>
    <row r="79" spans="1:8">
      <c r="A79" s="73"/>
      <c r="B79" s="73" t="s">
        <v>55</v>
      </c>
      <c r="C79" s="74" t="e">
        <f t="shared" si="19"/>
        <v>#REF!</v>
      </c>
      <c r="D79" s="74" t="e">
        <f t="shared" si="16"/>
        <v>#REF!</v>
      </c>
      <c r="E79" s="74" t="e">
        <f t="shared" si="15"/>
        <v>#REF!</v>
      </c>
      <c r="F79" s="74" t="e">
        <f t="shared" si="17"/>
        <v>#REF!</v>
      </c>
      <c r="G79" s="74" t="e">
        <f t="shared" si="18"/>
        <v>#REF!</v>
      </c>
    </row>
    <row r="80" spans="1:8">
      <c r="A80" s="73"/>
      <c r="B80" s="73" t="s">
        <v>56</v>
      </c>
      <c r="C80" s="74" t="e">
        <f t="shared" si="19"/>
        <v>#REF!</v>
      </c>
      <c r="D80" s="74" t="e">
        <f t="shared" si="16"/>
        <v>#REF!</v>
      </c>
      <c r="E80" s="74" t="e">
        <f t="shared" si="15"/>
        <v>#REF!</v>
      </c>
      <c r="F80" s="74" t="e">
        <f t="shared" si="17"/>
        <v>#REF!</v>
      </c>
      <c r="G80" s="74" t="e">
        <f t="shared" si="18"/>
        <v>#REF!</v>
      </c>
    </row>
    <row r="81" spans="1:7">
      <c r="A81" s="73"/>
      <c r="B81" s="73" t="s">
        <v>57</v>
      </c>
      <c r="C81" s="74" t="e">
        <f t="shared" si="19"/>
        <v>#REF!</v>
      </c>
      <c r="D81" s="74" t="e">
        <f t="shared" si="16"/>
        <v>#REF!</v>
      </c>
      <c r="E81" s="74" t="e">
        <f t="shared" si="15"/>
        <v>#REF!</v>
      </c>
      <c r="F81" s="74" t="e">
        <f t="shared" si="17"/>
        <v>#REF!</v>
      </c>
      <c r="G81" s="74" t="e">
        <f t="shared" si="18"/>
        <v>#REF!</v>
      </c>
    </row>
    <row r="82" spans="1:7">
      <c r="A82" s="73"/>
      <c r="B82" s="73" t="s">
        <v>58</v>
      </c>
      <c r="C82" s="74" t="e">
        <f t="shared" si="19"/>
        <v>#REF!</v>
      </c>
      <c r="D82" s="74" t="e">
        <f t="shared" si="16"/>
        <v>#REF!</v>
      </c>
      <c r="E82" s="74" t="e">
        <f>F82-D82</f>
        <v>#REF!</v>
      </c>
      <c r="F82" s="74" t="e">
        <f>$B$74</f>
        <v>#REF!</v>
      </c>
      <c r="G82" s="74" t="e">
        <f t="shared" si="18"/>
        <v>#REF!</v>
      </c>
    </row>
    <row r="83" spans="1:7">
      <c r="A83" s="73"/>
      <c r="B83" s="73" t="s">
        <v>59</v>
      </c>
      <c r="C83" s="74" t="e">
        <f t="shared" si="19"/>
        <v>#REF!</v>
      </c>
      <c r="D83" s="74" t="e">
        <f t="shared" si="16"/>
        <v>#REF!</v>
      </c>
      <c r="E83" s="74" t="e">
        <f t="shared" ref="E83:E146" si="20">F83-D83</f>
        <v>#REF!</v>
      </c>
      <c r="F83" s="74" t="e">
        <f t="shared" ref="F83:F146" si="21">$B$74</f>
        <v>#REF!</v>
      </c>
      <c r="G83" s="74" t="e">
        <f t="shared" si="18"/>
        <v>#REF!</v>
      </c>
    </row>
    <row r="84" spans="1:7">
      <c r="A84" s="73"/>
      <c r="B84" s="73" t="s">
        <v>60</v>
      </c>
      <c r="C84" s="74" t="e">
        <f t="shared" si="19"/>
        <v>#REF!</v>
      </c>
      <c r="D84" s="74" t="e">
        <f t="shared" si="16"/>
        <v>#REF!</v>
      </c>
      <c r="E84" s="74" t="e">
        <f t="shared" si="20"/>
        <v>#REF!</v>
      </c>
      <c r="F84" s="74" t="e">
        <f t="shared" si="21"/>
        <v>#REF!</v>
      </c>
      <c r="G84" s="74" t="e">
        <f t="shared" si="18"/>
        <v>#REF!</v>
      </c>
    </row>
    <row r="85" spans="1:7">
      <c r="A85" s="73"/>
      <c r="B85" s="73" t="s">
        <v>61</v>
      </c>
      <c r="C85" s="74" t="e">
        <f t="shared" si="19"/>
        <v>#REF!</v>
      </c>
      <c r="D85" s="74" t="e">
        <f t="shared" si="16"/>
        <v>#REF!</v>
      </c>
      <c r="E85" s="74" t="e">
        <f t="shared" si="20"/>
        <v>#REF!</v>
      </c>
      <c r="F85" s="74" t="e">
        <f t="shared" si="21"/>
        <v>#REF!</v>
      </c>
      <c r="G85" s="74" t="e">
        <f t="shared" si="18"/>
        <v>#REF!</v>
      </c>
    </row>
    <row r="86" spans="1:7">
      <c r="A86" s="73"/>
      <c r="B86" s="73" t="s">
        <v>62</v>
      </c>
      <c r="C86" s="74" t="e">
        <f t="shared" si="19"/>
        <v>#REF!</v>
      </c>
      <c r="D86" s="74" t="e">
        <f t="shared" si="16"/>
        <v>#REF!</v>
      </c>
      <c r="E86" s="74" t="e">
        <f t="shared" si="20"/>
        <v>#REF!</v>
      </c>
      <c r="F86" s="74" t="e">
        <f t="shared" si="21"/>
        <v>#REF!</v>
      </c>
      <c r="G86" s="74" t="e">
        <f t="shared" si="18"/>
        <v>#REF!</v>
      </c>
    </row>
    <row r="87" spans="1:7">
      <c r="A87" s="73"/>
      <c r="B87" s="73" t="s">
        <v>63</v>
      </c>
      <c r="C87" s="74" t="e">
        <f t="shared" si="19"/>
        <v>#REF!</v>
      </c>
      <c r="D87" s="74" t="e">
        <f t="shared" si="16"/>
        <v>#REF!</v>
      </c>
      <c r="E87" s="74" t="e">
        <f t="shared" si="20"/>
        <v>#REF!</v>
      </c>
      <c r="F87" s="74" t="e">
        <f t="shared" si="21"/>
        <v>#REF!</v>
      </c>
      <c r="G87" s="74" t="e">
        <f t="shared" si="18"/>
        <v>#REF!</v>
      </c>
    </row>
    <row r="88" spans="1:7">
      <c r="A88" s="73" t="s">
        <v>12</v>
      </c>
      <c r="B88" s="73" t="s">
        <v>64</v>
      </c>
      <c r="C88" s="74" t="e">
        <f t="shared" si="19"/>
        <v>#REF!</v>
      </c>
      <c r="D88" s="74" t="e">
        <f t="shared" si="16"/>
        <v>#REF!</v>
      </c>
      <c r="E88" s="74" t="e">
        <f t="shared" si="20"/>
        <v>#REF!</v>
      </c>
      <c r="F88" s="74" t="e">
        <f t="shared" si="21"/>
        <v>#REF!</v>
      </c>
      <c r="G88" s="74" t="e">
        <f t="shared" si="18"/>
        <v>#REF!</v>
      </c>
    </row>
    <row r="89" spans="1:7">
      <c r="A89" s="73"/>
      <c r="B89" s="73" t="s">
        <v>65</v>
      </c>
      <c r="C89" s="74" t="e">
        <f t="shared" si="19"/>
        <v>#REF!</v>
      </c>
      <c r="D89" s="74" t="e">
        <f t="shared" si="16"/>
        <v>#REF!</v>
      </c>
      <c r="E89" s="74" t="e">
        <f t="shared" si="20"/>
        <v>#REF!</v>
      </c>
      <c r="F89" s="74" t="e">
        <f t="shared" si="21"/>
        <v>#REF!</v>
      </c>
      <c r="G89" s="74" t="e">
        <f t="shared" si="18"/>
        <v>#REF!</v>
      </c>
    </row>
    <row r="90" spans="1:7">
      <c r="A90" s="73"/>
      <c r="B90" s="73" t="s">
        <v>66</v>
      </c>
      <c r="C90" s="74" t="e">
        <f t="shared" si="19"/>
        <v>#REF!</v>
      </c>
      <c r="D90" s="74" t="e">
        <f t="shared" si="16"/>
        <v>#REF!</v>
      </c>
      <c r="E90" s="74" t="e">
        <f t="shared" si="20"/>
        <v>#REF!</v>
      </c>
      <c r="F90" s="74" t="e">
        <f t="shared" si="21"/>
        <v>#REF!</v>
      </c>
      <c r="G90" s="74" t="e">
        <f t="shared" si="18"/>
        <v>#REF!</v>
      </c>
    </row>
    <row r="91" spans="1:7">
      <c r="A91" s="73"/>
      <c r="B91" s="73" t="s">
        <v>67</v>
      </c>
      <c r="C91" s="74" t="e">
        <f t="shared" si="19"/>
        <v>#REF!</v>
      </c>
      <c r="D91" s="74" t="e">
        <f t="shared" si="16"/>
        <v>#REF!</v>
      </c>
      <c r="E91" s="74" t="e">
        <f t="shared" si="20"/>
        <v>#REF!</v>
      </c>
      <c r="F91" s="74" t="e">
        <f t="shared" si="21"/>
        <v>#REF!</v>
      </c>
      <c r="G91" s="74" t="e">
        <f t="shared" si="18"/>
        <v>#REF!</v>
      </c>
    </row>
    <row r="92" spans="1:7">
      <c r="A92" s="73"/>
      <c r="B92" s="73" t="s">
        <v>68</v>
      </c>
      <c r="C92" s="74" t="e">
        <f t="shared" si="19"/>
        <v>#REF!</v>
      </c>
      <c r="D92" s="74" t="e">
        <f t="shared" si="16"/>
        <v>#REF!</v>
      </c>
      <c r="E92" s="74" t="e">
        <f t="shared" si="20"/>
        <v>#REF!</v>
      </c>
      <c r="F92" s="74" t="e">
        <f t="shared" si="21"/>
        <v>#REF!</v>
      </c>
      <c r="G92" s="74" t="e">
        <f t="shared" si="18"/>
        <v>#REF!</v>
      </c>
    </row>
    <row r="93" spans="1:7">
      <c r="A93" s="73"/>
      <c r="B93" s="73" t="s">
        <v>69</v>
      </c>
      <c r="C93" s="74" t="e">
        <f t="shared" si="19"/>
        <v>#REF!</v>
      </c>
      <c r="D93" s="74" t="e">
        <f t="shared" si="16"/>
        <v>#REF!</v>
      </c>
      <c r="E93" s="74" t="e">
        <f t="shared" si="20"/>
        <v>#REF!</v>
      </c>
      <c r="F93" s="74" t="e">
        <f t="shared" si="21"/>
        <v>#REF!</v>
      </c>
      <c r="G93" s="74" t="e">
        <f t="shared" si="18"/>
        <v>#REF!</v>
      </c>
    </row>
    <row r="94" spans="1:7">
      <c r="A94" s="73"/>
      <c r="B94" s="73" t="s">
        <v>70</v>
      </c>
      <c r="C94" s="74" t="e">
        <f t="shared" si="19"/>
        <v>#REF!</v>
      </c>
      <c r="D94" s="74" t="e">
        <f t="shared" si="16"/>
        <v>#REF!</v>
      </c>
      <c r="E94" s="74" t="e">
        <f t="shared" si="20"/>
        <v>#REF!</v>
      </c>
      <c r="F94" s="74" t="e">
        <f t="shared" si="21"/>
        <v>#REF!</v>
      </c>
      <c r="G94" s="74" t="e">
        <f t="shared" si="18"/>
        <v>#REF!</v>
      </c>
    </row>
    <row r="95" spans="1:7">
      <c r="A95" s="73"/>
      <c r="B95" s="73" t="s">
        <v>71</v>
      </c>
      <c r="C95" s="74" t="e">
        <f t="shared" si="19"/>
        <v>#REF!</v>
      </c>
      <c r="D95" s="74" t="e">
        <f t="shared" si="16"/>
        <v>#REF!</v>
      </c>
      <c r="E95" s="74" t="e">
        <f t="shared" si="20"/>
        <v>#REF!</v>
      </c>
      <c r="F95" s="74" t="e">
        <f t="shared" si="21"/>
        <v>#REF!</v>
      </c>
      <c r="G95" s="74" t="e">
        <f t="shared" si="18"/>
        <v>#REF!</v>
      </c>
    </row>
    <row r="96" spans="1:7">
      <c r="A96" s="73"/>
      <c r="B96" s="73" t="s">
        <v>72</v>
      </c>
      <c r="C96" s="74" t="e">
        <f t="shared" si="19"/>
        <v>#REF!</v>
      </c>
      <c r="D96" s="74" t="e">
        <f t="shared" si="16"/>
        <v>#REF!</v>
      </c>
      <c r="E96" s="74" t="e">
        <f t="shared" si="20"/>
        <v>#REF!</v>
      </c>
      <c r="F96" s="74" t="e">
        <f t="shared" si="21"/>
        <v>#REF!</v>
      </c>
      <c r="G96" s="74" t="e">
        <f t="shared" si="18"/>
        <v>#REF!</v>
      </c>
    </row>
    <row r="97" spans="1:7">
      <c r="A97" s="73"/>
      <c r="B97" s="73" t="s">
        <v>73</v>
      </c>
      <c r="C97" s="74" t="e">
        <f t="shared" si="19"/>
        <v>#REF!</v>
      </c>
      <c r="D97" s="74" t="e">
        <f t="shared" si="16"/>
        <v>#REF!</v>
      </c>
      <c r="E97" s="74" t="e">
        <f t="shared" si="20"/>
        <v>#REF!</v>
      </c>
      <c r="F97" s="74" t="e">
        <f t="shared" si="21"/>
        <v>#REF!</v>
      </c>
      <c r="G97" s="74" t="e">
        <f t="shared" si="18"/>
        <v>#REF!</v>
      </c>
    </row>
    <row r="98" spans="1:7">
      <c r="A98" s="73"/>
      <c r="B98" s="73" t="s">
        <v>74</v>
      </c>
      <c r="C98" s="74" t="e">
        <f t="shared" si="19"/>
        <v>#REF!</v>
      </c>
      <c r="D98" s="74" t="e">
        <f t="shared" si="16"/>
        <v>#REF!</v>
      </c>
      <c r="E98" s="74" t="e">
        <f t="shared" si="20"/>
        <v>#REF!</v>
      </c>
      <c r="F98" s="74" t="e">
        <f t="shared" si="21"/>
        <v>#REF!</v>
      </c>
      <c r="G98" s="74" t="e">
        <f t="shared" si="18"/>
        <v>#REF!</v>
      </c>
    </row>
    <row r="99" spans="1:7">
      <c r="A99" s="73"/>
      <c r="B99" s="73" t="s">
        <v>75</v>
      </c>
      <c r="C99" s="74" t="e">
        <f t="shared" si="19"/>
        <v>#REF!</v>
      </c>
      <c r="D99" s="74" t="e">
        <f t="shared" si="16"/>
        <v>#REF!</v>
      </c>
      <c r="E99" s="74" t="e">
        <f t="shared" si="20"/>
        <v>#REF!</v>
      </c>
      <c r="F99" s="74" t="e">
        <f t="shared" si="21"/>
        <v>#REF!</v>
      </c>
      <c r="G99" s="74" t="e">
        <f t="shared" si="18"/>
        <v>#REF!</v>
      </c>
    </row>
    <row r="100" spans="1:7">
      <c r="A100" s="73" t="s">
        <v>13</v>
      </c>
      <c r="B100" s="73" t="s">
        <v>76</v>
      </c>
      <c r="C100" s="74" t="e">
        <f t="shared" si="19"/>
        <v>#REF!</v>
      </c>
      <c r="D100" s="74" t="e">
        <f t="shared" si="16"/>
        <v>#REF!</v>
      </c>
      <c r="E100" s="74" t="e">
        <f t="shared" si="20"/>
        <v>#REF!</v>
      </c>
      <c r="F100" s="74" t="e">
        <f t="shared" si="21"/>
        <v>#REF!</v>
      </c>
      <c r="G100" s="74" t="e">
        <f t="shared" si="18"/>
        <v>#REF!</v>
      </c>
    </row>
    <row r="101" spans="1:7">
      <c r="A101" s="73"/>
      <c r="B101" s="73" t="s">
        <v>77</v>
      </c>
      <c r="C101" s="74" t="e">
        <f t="shared" si="19"/>
        <v>#REF!</v>
      </c>
      <c r="D101" s="74" t="e">
        <f t="shared" si="16"/>
        <v>#REF!</v>
      </c>
      <c r="E101" s="74" t="e">
        <f t="shared" si="20"/>
        <v>#REF!</v>
      </c>
      <c r="F101" s="74" t="e">
        <f t="shared" si="21"/>
        <v>#REF!</v>
      </c>
      <c r="G101" s="74" t="e">
        <f t="shared" si="18"/>
        <v>#REF!</v>
      </c>
    </row>
    <row r="102" spans="1:7">
      <c r="A102" s="73"/>
      <c r="B102" s="73" t="s">
        <v>78</v>
      </c>
      <c r="C102" s="74" t="e">
        <f t="shared" si="19"/>
        <v>#REF!</v>
      </c>
      <c r="D102" s="74" t="e">
        <f t="shared" si="16"/>
        <v>#REF!</v>
      </c>
      <c r="E102" s="74" t="e">
        <f t="shared" si="20"/>
        <v>#REF!</v>
      </c>
      <c r="F102" s="74" t="e">
        <f t="shared" si="21"/>
        <v>#REF!</v>
      </c>
      <c r="G102" s="74" t="e">
        <f t="shared" si="18"/>
        <v>#REF!</v>
      </c>
    </row>
    <row r="103" spans="1:7">
      <c r="A103" s="73"/>
      <c r="B103" s="73" t="s">
        <v>79</v>
      </c>
      <c r="C103" s="74" t="e">
        <f t="shared" si="19"/>
        <v>#REF!</v>
      </c>
      <c r="D103" s="74" t="e">
        <f t="shared" si="16"/>
        <v>#REF!</v>
      </c>
      <c r="E103" s="74" t="e">
        <f t="shared" si="20"/>
        <v>#REF!</v>
      </c>
      <c r="F103" s="74" t="e">
        <f t="shared" si="21"/>
        <v>#REF!</v>
      </c>
      <c r="G103" s="74" t="e">
        <f t="shared" si="18"/>
        <v>#REF!</v>
      </c>
    </row>
    <row r="104" spans="1:7">
      <c r="A104" s="73"/>
      <c r="B104" s="73" t="s">
        <v>80</v>
      </c>
      <c r="C104" s="74" t="e">
        <f t="shared" si="19"/>
        <v>#REF!</v>
      </c>
      <c r="D104" s="74" t="e">
        <f t="shared" si="16"/>
        <v>#REF!</v>
      </c>
      <c r="E104" s="74" t="e">
        <f t="shared" si="20"/>
        <v>#REF!</v>
      </c>
      <c r="F104" s="74" t="e">
        <f t="shared" si="21"/>
        <v>#REF!</v>
      </c>
      <c r="G104" s="74" t="e">
        <f t="shared" si="18"/>
        <v>#REF!</v>
      </c>
    </row>
    <row r="105" spans="1:7">
      <c r="A105" s="73"/>
      <c r="B105" s="73" t="s">
        <v>81</v>
      </c>
      <c r="C105" s="74" t="e">
        <f t="shared" si="19"/>
        <v>#REF!</v>
      </c>
      <c r="D105" s="74" t="e">
        <f t="shared" si="16"/>
        <v>#REF!</v>
      </c>
      <c r="E105" s="74" t="e">
        <f t="shared" si="20"/>
        <v>#REF!</v>
      </c>
      <c r="F105" s="74" t="e">
        <f t="shared" si="21"/>
        <v>#REF!</v>
      </c>
      <c r="G105" s="74" t="e">
        <f t="shared" si="18"/>
        <v>#REF!</v>
      </c>
    </row>
    <row r="106" spans="1:7">
      <c r="A106" s="73"/>
      <c r="B106" s="73" t="s">
        <v>82</v>
      </c>
      <c r="C106" s="74" t="e">
        <f t="shared" si="19"/>
        <v>#REF!</v>
      </c>
      <c r="D106" s="74" t="e">
        <f t="shared" si="16"/>
        <v>#REF!</v>
      </c>
      <c r="E106" s="74" t="e">
        <f t="shared" si="20"/>
        <v>#REF!</v>
      </c>
      <c r="F106" s="74" t="e">
        <f t="shared" si="21"/>
        <v>#REF!</v>
      </c>
      <c r="G106" s="74" t="e">
        <f t="shared" si="18"/>
        <v>#REF!</v>
      </c>
    </row>
    <row r="107" spans="1:7">
      <c r="A107" s="73"/>
      <c r="B107" s="73" t="s">
        <v>83</v>
      </c>
      <c r="C107" s="74" t="e">
        <f t="shared" si="19"/>
        <v>#REF!</v>
      </c>
      <c r="D107" s="74" t="e">
        <f t="shared" si="16"/>
        <v>#REF!</v>
      </c>
      <c r="E107" s="74" t="e">
        <f t="shared" si="20"/>
        <v>#REF!</v>
      </c>
      <c r="F107" s="74" t="e">
        <f t="shared" si="21"/>
        <v>#REF!</v>
      </c>
      <c r="G107" s="74" t="e">
        <f t="shared" si="18"/>
        <v>#REF!</v>
      </c>
    </row>
    <row r="108" spans="1:7">
      <c r="A108" s="73"/>
      <c r="B108" s="73" t="s">
        <v>84</v>
      </c>
      <c r="C108" s="74" t="e">
        <f t="shared" si="19"/>
        <v>#REF!</v>
      </c>
      <c r="D108" s="74" t="e">
        <f t="shared" si="16"/>
        <v>#REF!</v>
      </c>
      <c r="E108" s="74" t="e">
        <f t="shared" si="20"/>
        <v>#REF!</v>
      </c>
      <c r="F108" s="74" t="e">
        <f t="shared" si="21"/>
        <v>#REF!</v>
      </c>
      <c r="G108" s="74" t="e">
        <f t="shared" si="18"/>
        <v>#REF!</v>
      </c>
    </row>
    <row r="109" spans="1:7">
      <c r="A109" s="73"/>
      <c r="B109" s="73" t="s">
        <v>85</v>
      </c>
      <c r="C109" s="74" t="e">
        <f t="shared" si="19"/>
        <v>#REF!</v>
      </c>
      <c r="D109" s="74" t="e">
        <f t="shared" si="16"/>
        <v>#REF!</v>
      </c>
      <c r="E109" s="74" t="e">
        <f t="shared" si="20"/>
        <v>#REF!</v>
      </c>
      <c r="F109" s="74" t="e">
        <f t="shared" si="21"/>
        <v>#REF!</v>
      </c>
      <c r="G109" s="74" t="e">
        <f t="shared" si="18"/>
        <v>#REF!</v>
      </c>
    </row>
    <row r="110" spans="1:7">
      <c r="A110" s="73"/>
      <c r="B110" s="73" t="s">
        <v>86</v>
      </c>
      <c r="C110" s="74" t="e">
        <f t="shared" si="19"/>
        <v>#REF!</v>
      </c>
      <c r="D110" s="74" t="e">
        <f t="shared" si="16"/>
        <v>#REF!</v>
      </c>
      <c r="E110" s="74" t="e">
        <f t="shared" si="20"/>
        <v>#REF!</v>
      </c>
      <c r="F110" s="74" t="e">
        <f t="shared" si="21"/>
        <v>#REF!</v>
      </c>
      <c r="G110" s="74" t="e">
        <f t="shared" si="18"/>
        <v>#REF!</v>
      </c>
    </row>
    <row r="111" spans="1:7">
      <c r="A111" s="73"/>
      <c r="B111" s="73" t="s">
        <v>87</v>
      </c>
      <c r="C111" s="74" t="e">
        <f t="shared" si="19"/>
        <v>#REF!</v>
      </c>
      <c r="D111" s="74" t="e">
        <f t="shared" si="16"/>
        <v>#REF!</v>
      </c>
      <c r="E111" s="74" t="e">
        <f t="shared" si="20"/>
        <v>#REF!</v>
      </c>
      <c r="F111" s="74" t="e">
        <f t="shared" si="21"/>
        <v>#REF!</v>
      </c>
      <c r="G111" s="74" t="e">
        <f t="shared" si="18"/>
        <v>#REF!</v>
      </c>
    </row>
    <row r="112" spans="1:7">
      <c r="A112" s="73" t="s">
        <v>14</v>
      </c>
      <c r="B112" s="73" t="s">
        <v>88</v>
      </c>
      <c r="C112" s="74" t="e">
        <f t="shared" si="19"/>
        <v>#REF!</v>
      </c>
      <c r="D112" s="74" t="e">
        <f t="shared" si="16"/>
        <v>#REF!</v>
      </c>
      <c r="E112" s="74" t="e">
        <f t="shared" si="20"/>
        <v>#REF!</v>
      </c>
      <c r="F112" s="74" t="e">
        <f t="shared" si="21"/>
        <v>#REF!</v>
      </c>
      <c r="G112" s="74" t="e">
        <f t="shared" si="18"/>
        <v>#REF!</v>
      </c>
    </row>
    <row r="113" spans="1:7">
      <c r="A113" s="73"/>
      <c r="B113" s="73" t="s">
        <v>89</v>
      </c>
      <c r="C113" s="74" t="e">
        <f t="shared" si="19"/>
        <v>#REF!</v>
      </c>
      <c r="D113" s="74" t="e">
        <f t="shared" si="16"/>
        <v>#REF!</v>
      </c>
      <c r="E113" s="74" t="e">
        <f t="shared" si="20"/>
        <v>#REF!</v>
      </c>
      <c r="F113" s="74" t="e">
        <f t="shared" si="21"/>
        <v>#REF!</v>
      </c>
      <c r="G113" s="74" t="e">
        <f t="shared" si="18"/>
        <v>#REF!</v>
      </c>
    </row>
    <row r="114" spans="1:7">
      <c r="A114" s="73"/>
      <c r="B114" s="73" t="s">
        <v>90</v>
      </c>
      <c r="C114" s="74" t="e">
        <f t="shared" si="19"/>
        <v>#REF!</v>
      </c>
      <c r="D114" s="74" t="e">
        <f t="shared" si="16"/>
        <v>#REF!</v>
      </c>
      <c r="E114" s="74" t="e">
        <f t="shared" si="20"/>
        <v>#REF!</v>
      </c>
      <c r="F114" s="74" t="e">
        <f t="shared" si="21"/>
        <v>#REF!</v>
      </c>
      <c r="G114" s="74" t="e">
        <f t="shared" si="18"/>
        <v>#REF!</v>
      </c>
    </row>
    <row r="115" spans="1:7">
      <c r="A115" s="73"/>
      <c r="B115" s="73" t="s">
        <v>91</v>
      </c>
      <c r="C115" s="74" t="e">
        <f t="shared" si="19"/>
        <v>#REF!</v>
      </c>
      <c r="D115" s="74" t="e">
        <f t="shared" si="16"/>
        <v>#REF!</v>
      </c>
      <c r="E115" s="74" t="e">
        <f t="shared" si="20"/>
        <v>#REF!</v>
      </c>
      <c r="F115" s="74" t="e">
        <f t="shared" si="21"/>
        <v>#REF!</v>
      </c>
      <c r="G115" s="74" t="e">
        <f t="shared" si="18"/>
        <v>#REF!</v>
      </c>
    </row>
    <row r="116" spans="1:7">
      <c r="A116" s="73"/>
      <c r="B116" s="73" t="s">
        <v>92</v>
      </c>
      <c r="C116" s="74" t="e">
        <f t="shared" si="19"/>
        <v>#REF!</v>
      </c>
      <c r="D116" s="74" t="e">
        <f t="shared" si="16"/>
        <v>#REF!</v>
      </c>
      <c r="E116" s="74" t="e">
        <f t="shared" si="20"/>
        <v>#REF!</v>
      </c>
      <c r="F116" s="74" t="e">
        <f t="shared" si="21"/>
        <v>#REF!</v>
      </c>
      <c r="G116" s="74" t="e">
        <f t="shared" si="18"/>
        <v>#REF!</v>
      </c>
    </row>
    <row r="117" spans="1:7">
      <c r="A117" s="73"/>
      <c r="B117" s="73" t="s">
        <v>93</v>
      </c>
      <c r="C117" s="74" t="e">
        <f t="shared" si="19"/>
        <v>#REF!</v>
      </c>
      <c r="D117" s="74" t="e">
        <f t="shared" si="16"/>
        <v>#REF!</v>
      </c>
      <c r="E117" s="74" t="e">
        <f t="shared" si="20"/>
        <v>#REF!</v>
      </c>
      <c r="F117" s="74" t="e">
        <f t="shared" si="21"/>
        <v>#REF!</v>
      </c>
      <c r="G117" s="74" t="e">
        <f t="shared" si="18"/>
        <v>#REF!</v>
      </c>
    </row>
    <row r="118" spans="1:7">
      <c r="A118" s="73"/>
      <c r="B118" s="73" t="s">
        <v>94</v>
      </c>
      <c r="C118" s="74" t="e">
        <f t="shared" si="19"/>
        <v>#REF!</v>
      </c>
      <c r="D118" s="74" t="e">
        <f t="shared" si="16"/>
        <v>#REF!</v>
      </c>
      <c r="E118" s="74" t="e">
        <f t="shared" si="20"/>
        <v>#REF!</v>
      </c>
      <c r="F118" s="74" t="e">
        <f t="shared" si="21"/>
        <v>#REF!</v>
      </c>
      <c r="G118" s="74" t="e">
        <f t="shared" si="18"/>
        <v>#REF!</v>
      </c>
    </row>
    <row r="119" spans="1:7">
      <c r="A119" s="73"/>
      <c r="B119" s="73" t="s">
        <v>95</v>
      </c>
      <c r="C119" s="74" t="e">
        <f t="shared" si="19"/>
        <v>#REF!</v>
      </c>
      <c r="D119" s="74" t="e">
        <f t="shared" si="16"/>
        <v>#REF!</v>
      </c>
      <c r="E119" s="74" t="e">
        <f t="shared" si="20"/>
        <v>#REF!</v>
      </c>
      <c r="F119" s="74" t="e">
        <f t="shared" si="21"/>
        <v>#REF!</v>
      </c>
      <c r="G119" s="74" t="e">
        <f t="shared" si="18"/>
        <v>#REF!</v>
      </c>
    </row>
    <row r="120" spans="1:7">
      <c r="A120" s="73"/>
      <c r="B120" s="73" t="s">
        <v>96</v>
      </c>
      <c r="C120" s="74" t="e">
        <f t="shared" si="19"/>
        <v>#REF!</v>
      </c>
      <c r="D120" s="74" t="e">
        <f t="shared" si="16"/>
        <v>#REF!</v>
      </c>
      <c r="E120" s="74" t="e">
        <f t="shared" si="20"/>
        <v>#REF!</v>
      </c>
      <c r="F120" s="74" t="e">
        <f t="shared" si="21"/>
        <v>#REF!</v>
      </c>
      <c r="G120" s="74" t="e">
        <f t="shared" si="18"/>
        <v>#REF!</v>
      </c>
    </row>
    <row r="121" spans="1:7">
      <c r="A121" s="73"/>
      <c r="B121" s="73" t="s">
        <v>97</v>
      </c>
      <c r="C121" s="74" t="e">
        <f t="shared" si="19"/>
        <v>#REF!</v>
      </c>
      <c r="D121" s="74" t="e">
        <f t="shared" si="16"/>
        <v>#REF!</v>
      </c>
      <c r="E121" s="74" t="e">
        <f t="shared" si="20"/>
        <v>#REF!</v>
      </c>
      <c r="F121" s="74" t="e">
        <f t="shared" si="21"/>
        <v>#REF!</v>
      </c>
      <c r="G121" s="74" t="e">
        <f t="shared" si="18"/>
        <v>#REF!</v>
      </c>
    </row>
    <row r="122" spans="1:7">
      <c r="A122" s="73"/>
      <c r="B122" s="73" t="s">
        <v>98</v>
      </c>
      <c r="C122" s="74" t="e">
        <f t="shared" si="19"/>
        <v>#REF!</v>
      </c>
      <c r="D122" s="74" t="e">
        <f t="shared" si="16"/>
        <v>#REF!</v>
      </c>
      <c r="E122" s="74" t="e">
        <f t="shared" si="20"/>
        <v>#REF!</v>
      </c>
      <c r="F122" s="74" t="e">
        <f t="shared" si="21"/>
        <v>#REF!</v>
      </c>
      <c r="G122" s="74" t="e">
        <f t="shared" si="18"/>
        <v>#REF!</v>
      </c>
    </row>
    <row r="123" spans="1:7">
      <c r="A123" s="73"/>
      <c r="B123" s="73" t="s">
        <v>99</v>
      </c>
      <c r="C123" s="74" t="e">
        <f t="shared" si="19"/>
        <v>#REF!</v>
      </c>
      <c r="D123" s="74" t="e">
        <f t="shared" si="16"/>
        <v>#REF!</v>
      </c>
      <c r="E123" s="74" t="e">
        <f t="shared" si="20"/>
        <v>#REF!</v>
      </c>
      <c r="F123" s="74" t="e">
        <f t="shared" si="21"/>
        <v>#REF!</v>
      </c>
      <c r="G123" s="74" t="e">
        <f t="shared" si="18"/>
        <v>#REF!</v>
      </c>
    </row>
    <row r="124" spans="1:7">
      <c r="A124" s="73" t="s">
        <v>15</v>
      </c>
      <c r="B124" s="73" t="s">
        <v>100</v>
      </c>
      <c r="C124" s="74" t="e">
        <f t="shared" si="19"/>
        <v>#REF!</v>
      </c>
      <c r="D124" s="74" t="e">
        <f t="shared" si="16"/>
        <v>#REF!</v>
      </c>
      <c r="E124" s="74" t="e">
        <f t="shared" si="20"/>
        <v>#REF!</v>
      </c>
      <c r="F124" s="74" t="e">
        <f t="shared" si="21"/>
        <v>#REF!</v>
      </c>
      <c r="G124" s="74" t="e">
        <f t="shared" si="18"/>
        <v>#REF!</v>
      </c>
    </row>
    <row r="125" spans="1:7">
      <c r="A125" s="73"/>
      <c r="B125" s="73" t="s">
        <v>101</v>
      </c>
      <c r="C125" s="74" t="e">
        <f t="shared" si="19"/>
        <v>#REF!</v>
      </c>
      <c r="D125" s="74" t="e">
        <f t="shared" si="16"/>
        <v>#REF!</v>
      </c>
      <c r="E125" s="74" t="e">
        <f t="shared" si="20"/>
        <v>#REF!</v>
      </c>
      <c r="F125" s="74" t="e">
        <f t="shared" si="21"/>
        <v>#REF!</v>
      </c>
      <c r="G125" s="74" t="e">
        <f t="shared" si="18"/>
        <v>#REF!</v>
      </c>
    </row>
    <row r="126" spans="1:7">
      <c r="A126" s="73"/>
      <c r="B126" s="73" t="s">
        <v>102</v>
      </c>
      <c r="C126" s="74" t="e">
        <f t="shared" si="19"/>
        <v>#REF!</v>
      </c>
      <c r="D126" s="74" t="e">
        <f t="shared" si="16"/>
        <v>#REF!</v>
      </c>
      <c r="E126" s="74" t="e">
        <f t="shared" si="20"/>
        <v>#REF!</v>
      </c>
      <c r="F126" s="74" t="e">
        <f t="shared" si="21"/>
        <v>#REF!</v>
      </c>
      <c r="G126" s="74" t="e">
        <f t="shared" si="18"/>
        <v>#REF!</v>
      </c>
    </row>
    <row r="127" spans="1:7">
      <c r="A127" s="73"/>
      <c r="B127" s="73" t="s">
        <v>103</v>
      </c>
      <c r="C127" s="74" t="e">
        <f t="shared" si="19"/>
        <v>#REF!</v>
      </c>
      <c r="D127" s="74" t="e">
        <f t="shared" si="16"/>
        <v>#REF!</v>
      </c>
      <c r="E127" s="74" t="e">
        <f t="shared" si="20"/>
        <v>#REF!</v>
      </c>
      <c r="F127" s="74" t="e">
        <f t="shared" si="21"/>
        <v>#REF!</v>
      </c>
      <c r="G127" s="74" t="e">
        <f t="shared" si="18"/>
        <v>#REF!</v>
      </c>
    </row>
    <row r="128" spans="1:7">
      <c r="A128" s="73"/>
      <c r="B128" s="73" t="s">
        <v>104</v>
      </c>
      <c r="C128" s="74" t="e">
        <f t="shared" si="19"/>
        <v>#REF!</v>
      </c>
      <c r="D128" s="74" t="e">
        <f t="shared" si="16"/>
        <v>#REF!</v>
      </c>
      <c r="E128" s="74" t="e">
        <f t="shared" si="20"/>
        <v>#REF!</v>
      </c>
      <c r="F128" s="74" t="e">
        <f t="shared" si="21"/>
        <v>#REF!</v>
      </c>
      <c r="G128" s="74" t="e">
        <f t="shared" si="18"/>
        <v>#REF!</v>
      </c>
    </row>
    <row r="129" spans="1:7">
      <c r="A129" s="73"/>
      <c r="B129" s="73" t="s">
        <v>105</v>
      </c>
      <c r="C129" s="74" t="e">
        <f t="shared" si="19"/>
        <v>#REF!</v>
      </c>
      <c r="D129" s="74" t="e">
        <f t="shared" si="16"/>
        <v>#REF!</v>
      </c>
      <c r="E129" s="74" t="e">
        <f t="shared" si="20"/>
        <v>#REF!</v>
      </c>
      <c r="F129" s="74" t="e">
        <f t="shared" si="21"/>
        <v>#REF!</v>
      </c>
      <c r="G129" s="74" t="e">
        <f t="shared" si="18"/>
        <v>#REF!</v>
      </c>
    </row>
    <row r="130" spans="1:7">
      <c r="A130" s="73"/>
      <c r="B130" s="73" t="s">
        <v>106</v>
      </c>
      <c r="C130" s="74" t="e">
        <f t="shared" si="19"/>
        <v>#REF!</v>
      </c>
      <c r="D130" s="74" t="e">
        <f t="shared" si="16"/>
        <v>#REF!</v>
      </c>
      <c r="E130" s="74" t="e">
        <f t="shared" si="20"/>
        <v>#REF!</v>
      </c>
      <c r="F130" s="74" t="e">
        <f t="shared" si="21"/>
        <v>#REF!</v>
      </c>
      <c r="G130" s="74" t="e">
        <f t="shared" si="18"/>
        <v>#REF!</v>
      </c>
    </row>
    <row r="131" spans="1:7">
      <c r="A131" s="73"/>
      <c r="B131" s="73" t="s">
        <v>107</v>
      </c>
      <c r="C131" s="74" t="e">
        <f t="shared" si="19"/>
        <v>#REF!</v>
      </c>
      <c r="D131" s="74" t="e">
        <f t="shared" si="16"/>
        <v>#REF!</v>
      </c>
      <c r="E131" s="74" t="e">
        <f t="shared" si="20"/>
        <v>#REF!</v>
      </c>
      <c r="F131" s="74" t="e">
        <f t="shared" si="21"/>
        <v>#REF!</v>
      </c>
      <c r="G131" s="74" t="e">
        <f t="shared" si="18"/>
        <v>#REF!</v>
      </c>
    </row>
    <row r="132" spans="1:7">
      <c r="A132" s="73"/>
      <c r="B132" s="73" t="s">
        <v>108</v>
      </c>
      <c r="C132" s="74" t="e">
        <f t="shared" si="19"/>
        <v>#REF!</v>
      </c>
      <c r="D132" s="74" t="e">
        <f t="shared" si="16"/>
        <v>#REF!</v>
      </c>
      <c r="E132" s="74" t="e">
        <f t="shared" si="20"/>
        <v>#REF!</v>
      </c>
      <c r="F132" s="74" t="e">
        <f t="shared" si="21"/>
        <v>#REF!</v>
      </c>
      <c r="G132" s="74" t="e">
        <f t="shared" si="18"/>
        <v>#REF!</v>
      </c>
    </row>
    <row r="133" spans="1:7">
      <c r="A133" s="73"/>
      <c r="B133" s="73" t="s">
        <v>109</v>
      </c>
      <c r="C133" s="74" t="e">
        <f t="shared" si="19"/>
        <v>#REF!</v>
      </c>
      <c r="D133" s="74" t="e">
        <f t="shared" si="16"/>
        <v>#REF!</v>
      </c>
      <c r="E133" s="74" t="e">
        <f t="shared" si="20"/>
        <v>#REF!</v>
      </c>
      <c r="F133" s="74" t="e">
        <f t="shared" si="21"/>
        <v>#REF!</v>
      </c>
      <c r="G133" s="74" t="e">
        <f t="shared" si="18"/>
        <v>#REF!</v>
      </c>
    </row>
    <row r="134" spans="1:7">
      <c r="A134" s="73"/>
      <c r="B134" s="73" t="s">
        <v>110</v>
      </c>
      <c r="C134" s="74" t="e">
        <f t="shared" si="19"/>
        <v>#REF!</v>
      </c>
      <c r="D134" s="74" t="e">
        <f t="shared" si="16"/>
        <v>#REF!</v>
      </c>
      <c r="E134" s="74" t="e">
        <f t="shared" si="20"/>
        <v>#REF!</v>
      </c>
      <c r="F134" s="74" t="e">
        <f t="shared" si="21"/>
        <v>#REF!</v>
      </c>
      <c r="G134" s="74" t="e">
        <f t="shared" si="18"/>
        <v>#REF!</v>
      </c>
    </row>
    <row r="135" spans="1:7">
      <c r="A135" s="73"/>
      <c r="B135" s="73" t="s">
        <v>111</v>
      </c>
      <c r="C135" s="74" t="e">
        <f t="shared" si="19"/>
        <v>#REF!</v>
      </c>
      <c r="D135" s="74" t="e">
        <f t="shared" si="16"/>
        <v>#REF!</v>
      </c>
      <c r="E135" s="74" t="e">
        <f t="shared" si="20"/>
        <v>#REF!</v>
      </c>
      <c r="F135" s="74" t="e">
        <f t="shared" si="21"/>
        <v>#REF!</v>
      </c>
      <c r="G135" s="74" t="e">
        <f t="shared" si="18"/>
        <v>#REF!</v>
      </c>
    </row>
    <row r="136" spans="1:7">
      <c r="A136" s="73" t="s">
        <v>16</v>
      </c>
      <c r="B136" s="73" t="s">
        <v>112</v>
      </c>
      <c r="C136" s="74" t="e">
        <f t="shared" si="19"/>
        <v>#REF!</v>
      </c>
      <c r="D136" s="74" t="e">
        <f t="shared" si="16"/>
        <v>#REF!</v>
      </c>
      <c r="E136" s="74" t="e">
        <f t="shared" si="20"/>
        <v>#REF!</v>
      </c>
      <c r="F136" s="74" t="e">
        <f t="shared" si="21"/>
        <v>#REF!</v>
      </c>
      <c r="G136" s="74" t="e">
        <f t="shared" si="18"/>
        <v>#REF!</v>
      </c>
    </row>
    <row r="137" spans="1:7">
      <c r="A137" s="73"/>
      <c r="B137" s="73" t="s">
        <v>113</v>
      </c>
      <c r="C137" s="74" t="e">
        <f t="shared" si="19"/>
        <v>#REF!</v>
      </c>
      <c r="D137" s="74" t="e">
        <f t="shared" si="16"/>
        <v>#REF!</v>
      </c>
      <c r="E137" s="74" t="e">
        <f t="shared" si="20"/>
        <v>#REF!</v>
      </c>
      <c r="F137" s="74" t="e">
        <f t="shared" si="21"/>
        <v>#REF!</v>
      </c>
      <c r="G137" s="74" t="e">
        <f t="shared" si="18"/>
        <v>#REF!</v>
      </c>
    </row>
    <row r="138" spans="1:7">
      <c r="A138" s="73"/>
      <c r="B138" s="73" t="s">
        <v>114</v>
      </c>
      <c r="C138" s="74" t="e">
        <f t="shared" si="19"/>
        <v>#REF!</v>
      </c>
      <c r="D138" s="74" t="e">
        <f t="shared" si="16"/>
        <v>#REF!</v>
      </c>
      <c r="E138" s="74" t="e">
        <f t="shared" si="20"/>
        <v>#REF!</v>
      </c>
      <c r="F138" s="74" t="e">
        <f t="shared" si="21"/>
        <v>#REF!</v>
      </c>
      <c r="G138" s="74" t="e">
        <f t="shared" si="18"/>
        <v>#REF!</v>
      </c>
    </row>
    <row r="139" spans="1:7">
      <c r="A139" s="73"/>
      <c r="B139" s="73" t="s">
        <v>115</v>
      </c>
      <c r="C139" s="74" t="e">
        <f t="shared" si="19"/>
        <v>#REF!</v>
      </c>
      <c r="D139" s="74" t="e">
        <f t="shared" si="16"/>
        <v>#REF!</v>
      </c>
      <c r="E139" s="74" t="e">
        <f t="shared" si="20"/>
        <v>#REF!</v>
      </c>
      <c r="F139" s="74" t="e">
        <f t="shared" si="21"/>
        <v>#REF!</v>
      </c>
      <c r="G139" s="74" t="e">
        <f t="shared" si="18"/>
        <v>#REF!</v>
      </c>
    </row>
    <row r="140" spans="1:7">
      <c r="A140" s="73"/>
      <c r="B140" s="73" t="s">
        <v>116</v>
      </c>
      <c r="C140" s="74" t="e">
        <f t="shared" si="19"/>
        <v>#REF!</v>
      </c>
      <c r="D140" s="74" t="e">
        <f t="shared" si="16"/>
        <v>#REF!</v>
      </c>
      <c r="E140" s="74" t="e">
        <f t="shared" si="20"/>
        <v>#REF!</v>
      </c>
      <c r="F140" s="74" t="e">
        <f t="shared" si="21"/>
        <v>#REF!</v>
      </c>
      <c r="G140" s="74" t="e">
        <f t="shared" si="18"/>
        <v>#REF!</v>
      </c>
    </row>
    <row r="141" spans="1:7">
      <c r="A141" s="73"/>
      <c r="B141" s="73" t="s">
        <v>117</v>
      </c>
      <c r="C141" s="74" t="e">
        <f t="shared" si="19"/>
        <v>#REF!</v>
      </c>
      <c r="D141" s="74" t="e">
        <f t="shared" ref="D141:D159" si="22">C141*$B$71/12</f>
        <v>#REF!</v>
      </c>
      <c r="E141" s="74" t="e">
        <f t="shared" si="20"/>
        <v>#REF!</v>
      </c>
      <c r="F141" s="74" t="e">
        <f t="shared" si="21"/>
        <v>#REF!</v>
      </c>
      <c r="G141" s="74" t="e">
        <f t="shared" ref="G141:G159" si="23">C141-E141</f>
        <v>#REF!</v>
      </c>
    </row>
    <row r="142" spans="1:7">
      <c r="A142" s="73"/>
      <c r="B142" s="73" t="s">
        <v>118</v>
      </c>
      <c r="C142" s="74" t="e">
        <f t="shared" ref="C142:C159" si="24">G141</f>
        <v>#REF!</v>
      </c>
      <c r="D142" s="74" t="e">
        <f t="shared" si="22"/>
        <v>#REF!</v>
      </c>
      <c r="E142" s="74" t="e">
        <f t="shared" si="20"/>
        <v>#REF!</v>
      </c>
      <c r="F142" s="74" t="e">
        <f t="shared" si="21"/>
        <v>#REF!</v>
      </c>
      <c r="G142" s="74" t="e">
        <f t="shared" si="23"/>
        <v>#REF!</v>
      </c>
    </row>
    <row r="143" spans="1:7">
      <c r="A143" s="73"/>
      <c r="B143" s="73" t="s">
        <v>119</v>
      </c>
      <c r="C143" s="74" t="e">
        <f t="shared" si="24"/>
        <v>#REF!</v>
      </c>
      <c r="D143" s="74" t="e">
        <f t="shared" si="22"/>
        <v>#REF!</v>
      </c>
      <c r="E143" s="74" t="e">
        <f t="shared" si="20"/>
        <v>#REF!</v>
      </c>
      <c r="F143" s="74" t="e">
        <f t="shared" si="21"/>
        <v>#REF!</v>
      </c>
      <c r="G143" s="74" t="e">
        <f t="shared" si="23"/>
        <v>#REF!</v>
      </c>
    </row>
    <row r="144" spans="1:7">
      <c r="A144" s="73"/>
      <c r="B144" s="73" t="s">
        <v>120</v>
      </c>
      <c r="C144" s="74" t="e">
        <f t="shared" si="24"/>
        <v>#REF!</v>
      </c>
      <c r="D144" s="74" t="e">
        <f t="shared" si="22"/>
        <v>#REF!</v>
      </c>
      <c r="E144" s="74" t="e">
        <f t="shared" si="20"/>
        <v>#REF!</v>
      </c>
      <c r="F144" s="74" t="e">
        <f t="shared" si="21"/>
        <v>#REF!</v>
      </c>
      <c r="G144" s="74" t="e">
        <f t="shared" si="23"/>
        <v>#REF!</v>
      </c>
    </row>
    <row r="145" spans="1:7">
      <c r="A145" s="73"/>
      <c r="B145" s="73" t="s">
        <v>121</v>
      </c>
      <c r="C145" s="74" t="e">
        <f t="shared" si="24"/>
        <v>#REF!</v>
      </c>
      <c r="D145" s="74" t="e">
        <f t="shared" si="22"/>
        <v>#REF!</v>
      </c>
      <c r="E145" s="74" t="e">
        <f t="shared" si="20"/>
        <v>#REF!</v>
      </c>
      <c r="F145" s="74" t="e">
        <f t="shared" si="21"/>
        <v>#REF!</v>
      </c>
      <c r="G145" s="74" t="e">
        <f t="shared" si="23"/>
        <v>#REF!</v>
      </c>
    </row>
    <row r="146" spans="1:7">
      <c r="A146" s="73"/>
      <c r="B146" s="73" t="s">
        <v>122</v>
      </c>
      <c r="C146" s="74" t="e">
        <f t="shared" si="24"/>
        <v>#REF!</v>
      </c>
      <c r="D146" s="74" t="e">
        <f t="shared" si="22"/>
        <v>#REF!</v>
      </c>
      <c r="E146" s="74" t="e">
        <f t="shared" si="20"/>
        <v>#REF!</v>
      </c>
      <c r="F146" s="74" t="e">
        <f t="shared" si="21"/>
        <v>#REF!</v>
      </c>
      <c r="G146" s="74" t="e">
        <f t="shared" si="23"/>
        <v>#REF!</v>
      </c>
    </row>
    <row r="147" spans="1:7">
      <c r="A147" s="73"/>
      <c r="B147" s="73" t="s">
        <v>123</v>
      </c>
      <c r="C147" s="74" t="e">
        <f t="shared" si="24"/>
        <v>#REF!</v>
      </c>
      <c r="D147" s="74" t="e">
        <f t="shared" si="22"/>
        <v>#REF!</v>
      </c>
      <c r="E147" s="74" t="e">
        <f t="shared" ref="E147:E159" si="25">F147-D147</f>
        <v>#REF!</v>
      </c>
      <c r="F147" s="74" t="e">
        <f t="shared" ref="F147:F159" si="26">$B$74</f>
        <v>#REF!</v>
      </c>
      <c r="G147" s="74" t="e">
        <f t="shared" si="23"/>
        <v>#REF!</v>
      </c>
    </row>
    <row r="148" spans="1:7">
      <c r="A148" s="73" t="s">
        <v>277</v>
      </c>
      <c r="B148" s="73" t="s">
        <v>212</v>
      </c>
      <c r="C148" s="74" t="e">
        <f t="shared" si="24"/>
        <v>#REF!</v>
      </c>
      <c r="D148" s="74" t="e">
        <f t="shared" si="22"/>
        <v>#REF!</v>
      </c>
      <c r="E148" s="74" t="e">
        <f t="shared" si="25"/>
        <v>#REF!</v>
      </c>
      <c r="F148" s="74" t="e">
        <f t="shared" si="26"/>
        <v>#REF!</v>
      </c>
      <c r="G148" s="74" t="e">
        <f t="shared" si="23"/>
        <v>#REF!</v>
      </c>
    </row>
    <row r="149" spans="1:7">
      <c r="A149" s="73"/>
      <c r="B149" s="73" t="s">
        <v>213</v>
      </c>
      <c r="C149" s="74" t="e">
        <f t="shared" si="24"/>
        <v>#REF!</v>
      </c>
      <c r="D149" s="74" t="e">
        <f t="shared" si="22"/>
        <v>#REF!</v>
      </c>
      <c r="E149" s="74" t="e">
        <f t="shared" si="25"/>
        <v>#REF!</v>
      </c>
      <c r="F149" s="74" t="e">
        <f t="shared" si="26"/>
        <v>#REF!</v>
      </c>
      <c r="G149" s="74" t="e">
        <f t="shared" si="23"/>
        <v>#REF!</v>
      </c>
    </row>
    <row r="150" spans="1:7">
      <c r="A150" s="73"/>
      <c r="B150" s="73" t="s">
        <v>214</v>
      </c>
      <c r="C150" s="74" t="e">
        <f t="shared" si="24"/>
        <v>#REF!</v>
      </c>
      <c r="D150" s="74" t="e">
        <f t="shared" si="22"/>
        <v>#REF!</v>
      </c>
      <c r="E150" s="74" t="e">
        <f t="shared" si="25"/>
        <v>#REF!</v>
      </c>
      <c r="F150" s="74" t="e">
        <f t="shared" si="26"/>
        <v>#REF!</v>
      </c>
      <c r="G150" s="74" t="e">
        <f t="shared" si="23"/>
        <v>#REF!</v>
      </c>
    </row>
    <row r="151" spans="1:7">
      <c r="A151" s="73"/>
      <c r="B151" s="73" t="s">
        <v>215</v>
      </c>
      <c r="C151" s="74" t="e">
        <f t="shared" si="24"/>
        <v>#REF!</v>
      </c>
      <c r="D151" s="74" t="e">
        <f t="shared" si="22"/>
        <v>#REF!</v>
      </c>
      <c r="E151" s="74" t="e">
        <f t="shared" si="25"/>
        <v>#REF!</v>
      </c>
      <c r="F151" s="74" t="e">
        <f t="shared" si="26"/>
        <v>#REF!</v>
      </c>
      <c r="G151" s="74" t="e">
        <f t="shared" si="23"/>
        <v>#REF!</v>
      </c>
    </row>
    <row r="152" spans="1:7">
      <c r="A152" s="73"/>
      <c r="B152" s="73" t="s">
        <v>216</v>
      </c>
      <c r="C152" s="74" t="e">
        <f t="shared" si="24"/>
        <v>#REF!</v>
      </c>
      <c r="D152" s="74" t="e">
        <f t="shared" si="22"/>
        <v>#REF!</v>
      </c>
      <c r="E152" s="74" t="e">
        <f t="shared" si="25"/>
        <v>#REF!</v>
      </c>
      <c r="F152" s="74" t="e">
        <f t="shared" si="26"/>
        <v>#REF!</v>
      </c>
      <c r="G152" s="74" t="e">
        <f t="shared" si="23"/>
        <v>#REF!</v>
      </c>
    </row>
    <row r="153" spans="1:7">
      <c r="A153" s="73"/>
      <c r="B153" s="73" t="s">
        <v>217</v>
      </c>
      <c r="C153" s="74" t="e">
        <f t="shared" si="24"/>
        <v>#REF!</v>
      </c>
      <c r="D153" s="74" t="e">
        <f t="shared" si="22"/>
        <v>#REF!</v>
      </c>
      <c r="E153" s="74" t="e">
        <f t="shared" si="25"/>
        <v>#REF!</v>
      </c>
      <c r="F153" s="74" t="e">
        <f t="shared" si="26"/>
        <v>#REF!</v>
      </c>
      <c r="G153" s="74" t="e">
        <f t="shared" si="23"/>
        <v>#REF!</v>
      </c>
    </row>
    <row r="154" spans="1:7">
      <c r="A154" s="73"/>
      <c r="B154" s="73" t="s">
        <v>218</v>
      </c>
      <c r="C154" s="74" t="e">
        <f t="shared" si="24"/>
        <v>#REF!</v>
      </c>
      <c r="D154" s="74" t="e">
        <f t="shared" si="22"/>
        <v>#REF!</v>
      </c>
      <c r="E154" s="74" t="e">
        <f t="shared" si="25"/>
        <v>#REF!</v>
      </c>
      <c r="F154" s="74" t="e">
        <f t="shared" si="26"/>
        <v>#REF!</v>
      </c>
      <c r="G154" s="74" t="e">
        <f t="shared" si="23"/>
        <v>#REF!</v>
      </c>
    </row>
    <row r="155" spans="1:7">
      <c r="A155" s="73"/>
      <c r="B155" s="73" t="s">
        <v>219</v>
      </c>
      <c r="C155" s="74" t="e">
        <f t="shared" si="24"/>
        <v>#REF!</v>
      </c>
      <c r="D155" s="74" t="e">
        <f t="shared" si="22"/>
        <v>#REF!</v>
      </c>
      <c r="E155" s="74" t="e">
        <f t="shared" si="25"/>
        <v>#REF!</v>
      </c>
      <c r="F155" s="74" t="e">
        <f t="shared" si="26"/>
        <v>#REF!</v>
      </c>
      <c r="G155" s="74" t="e">
        <f t="shared" si="23"/>
        <v>#REF!</v>
      </c>
    </row>
    <row r="156" spans="1:7">
      <c r="A156" s="73"/>
      <c r="B156" s="73" t="s">
        <v>220</v>
      </c>
      <c r="C156" s="74" t="e">
        <f t="shared" si="24"/>
        <v>#REF!</v>
      </c>
      <c r="D156" s="74" t="e">
        <f t="shared" si="22"/>
        <v>#REF!</v>
      </c>
      <c r="E156" s="74" t="e">
        <f t="shared" si="25"/>
        <v>#REF!</v>
      </c>
      <c r="F156" s="74" t="e">
        <f t="shared" si="26"/>
        <v>#REF!</v>
      </c>
      <c r="G156" s="74" t="e">
        <f t="shared" si="23"/>
        <v>#REF!</v>
      </c>
    </row>
    <row r="157" spans="1:7">
      <c r="A157" s="73"/>
      <c r="B157" s="73" t="s">
        <v>221</v>
      </c>
      <c r="C157" s="74" t="e">
        <f t="shared" si="24"/>
        <v>#REF!</v>
      </c>
      <c r="D157" s="74" t="e">
        <f t="shared" si="22"/>
        <v>#REF!</v>
      </c>
      <c r="E157" s="74" t="e">
        <f t="shared" si="25"/>
        <v>#REF!</v>
      </c>
      <c r="F157" s="74" t="e">
        <f t="shared" si="26"/>
        <v>#REF!</v>
      </c>
      <c r="G157" s="74" t="e">
        <f t="shared" si="23"/>
        <v>#REF!</v>
      </c>
    </row>
    <row r="158" spans="1:7">
      <c r="A158" s="73"/>
      <c r="B158" s="73" t="s">
        <v>222</v>
      </c>
      <c r="C158" s="74" t="e">
        <f t="shared" si="24"/>
        <v>#REF!</v>
      </c>
      <c r="D158" s="74" t="e">
        <f t="shared" si="22"/>
        <v>#REF!</v>
      </c>
      <c r="E158" s="74" t="e">
        <f t="shared" si="25"/>
        <v>#REF!</v>
      </c>
      <c r="F158" s="74" t="e">
        <f t="shared" si="26"/>
        <v>#REF!</v>
      </c>
      <c r="G158" s="74" t="e">
        <f t="shared" si="23"/>
        <v>#REF!</v>
      </c>
    </row>
    <row r="159" spans="1:7">
      <c r="A159" s="73"/>
      <c r="B159" s="73" t="s">
        <v>223</v>
      </c>
      <c r="C159" s="74" t="e">
        <f t="shared" si="24"/>
        <v>#REF!</v>
      </c>
      <c r="D159" s="74" t="e">
        <f t="shared" si="22"/>
        <v>#REF!</v>
      </c>
      <c r="E159" s="74" t="e">
        <f t="shared" si="25"/>
        <v>#REF!</v>
      </c>
      <c r="F159" s="74" t="e">
        <f t="shared" si="26"/>
        <v>#REF!</v>
      </c>
      <c r="G159" s="74" t="e">
        <f t="shared" si="23"/>
        <v>#REF!</v>
      </c>
    </row>
    <row r="166" spans="1:9" ht="17.5">
      <c r="A166" s="449" t="s">
        <v>559</v>
      </c>
      <c r="B166" s="449"/>
      <c r="C166" s="449"/>
      <c r="D166" s="449"/>
      <c r="E166" s="449"/>
      <c r="F166" s="449"/>
      <c r="G166" s="449"/>
      <c r="H166" s="449"/>
      <c r="I166" s="449"/>
    </row>
    <row r="167" spans="1:9" ht="16.5">
      <c r="A167" s="7"/>
      <c r="B167" s="7"/>
      <c r="C167" s="7"/>
      <c r="D167" s="7"/>
      <c r="E167" s="7"/>
      <c r="F167" s="7"/>
      <c r="G167" s="7"/>
      <c r="H167" s="7"/>
      <c r="I167" s="7"/>
    </row>
    <row r="168" spans="1:9" ht="15.5">
      <c r="A168" s="67" t="s">
        <v>29</v>
      </c>
      <c r="B168" s="68" t="s">
        <v>330</v>
      </c>
      <c r="C168" s="68" t="s">
        <v>2</v>
      </c>
      <c r="D168" s="68" t="s">
        <v>3</v>
      </c>
      <c r="E168" s="68" t="s">
        <v>4</v>
      </c>
      <c r="F168" s="68" t="s">
        <v>5</v>
      </c>
      <c r="G168" s="68" t="s">
        <v>6</v>
      </c>
      <c r="H168" s="68" t="s">
        <v>169</v>
      </c>
      <c r="I168" s="68" t="s">
        <v>168</v>
      </c>
    </row>
    <row r="169" spans="1:9">
      <c r="A169" s="59"/>
      <c r="B169" s="59"/>
      <c r="C169" s="59"/>
      <c r="D169" s="59"/>
      <c r="E169" s="59"/>
      <c r="F169" s="59"/>
      <c r="G169" s="59"/>
      <c r="H169" s="59"/>
      <c r="I169" s="59"/>
    </row>
    <row r="170" spans="1:9">
      <c r="A170" s="59" t="s">
        <v>371</v>
      </c>
      <c r="B170" s="59"/>
      <c r="C170" s="69" t="e">
        <f>B51</f>
        <v>#REF!</v>
      </c>
      <c r="D170" s="69" t="e">
        <f t="shared" ref="D170:I170" si="27">C51</f>
        <v>#REF!</v>
      </c>
      <c r="E170" s="69" t="e">
        <f t="shared" si="27"/>
        <v>#REF!</v>
      </c>
      <c r="F170" s="69" t="e">
        <f t="shared" si="27"/>
        <v>#REF!</v>
      </c>
      <c r="G170" s="69" t="e">
        <f t="shared" si="27"/>
        <v>#REF!</v>
      </c>
      <c r="H170" s="69" t="e">
        <f t="shared" si="27"/>
        <v>#REF!</v>
      </c>
      <c r="I170" s="69" t="e">
        <f t="shared" si="27"/>
        <v>#REF!</v>
      </c>
    </row>
    <row r="171" spans="1:9">
      <c r="A171" s="59"/>
      <c r="B171" s="59"/>
      <c r="C171" s="69"/>
      <c r="D171" s="69"/>
      <c r="E171" s="69"/>
      <c r="F171" s="69"/>
      <c r="G171" s="69"/>
      <c r="H171" s="69"/>
      <c r="I171" s="69"/>
    </row>
    <row r="172" spans="1:9">
      <c r="A172" s="61" t="s">
        <v>31</v>
      </c>
      <c r="B172" s="61"/>
      <c r="C172" s="69">
        <f>B42</f>
        <v>544435.74297999998</v>
      </c>
      <c r="D172" s="69">
        <f t="shared" ref="D172:I173" si="28">C42</f>
        <v>544435.74297999998</v>
      </c>
      <c r="E172" s="69">
        <f t="shared" si="28"/>
        <v>544435.74297999998</v>
      </c>
      <c r="F172" s="69">
        <f t="shared" si="28"/>
        <v>544435.74297999998</v>
      </c>
      <c r="G172" s="69">
        <f t="shared" si="28"/>
        <v>544435.74297999998</v>
      </c>
      <c r="H172" s="69">
        <f t="shared" si="28"/>
        <v>544435.74297999998</v>
      </c>
      <c r="I172" s="69">
        <f t="shared" si="28"/>
        <v>544435.74297999998</v>
      </c>
    </row>
    <row r="173" spans="1:9">
      <c r="A173" s="59" t="s">
        <v>36</v>
      </c>
      <c r="B173" s="59"/>
      <c r="C173" s="69">
        <f>B43</f>
        <v>14832</v>
      </c>
      <c r="D173" s="69">
        <f t="shared" si="28"/>
        <v>14832</v>
      </c>
      <c r="E173" s="69">
        <f t="shared" si="28"/>
        <v>14832</v>
      </c>
      <c r="F173" s="69">
        <f t="shared" si="28"/>
        <v>14832</v>
      </c>
      <c r="G173" s="69">
        <f t="shared" si="28"/>
        <v>14832</v>
      </c>
      <c r="H173" s="69">
        <f t="shared" si="28"/>
        <v>0</v>
      </c>
      <c r="I173" s="69">
        <f t="shared" si="28"/>
        <v>0</v>
      </c>
    </row>
    <row r="174" spans="1:9">
      <c r="A174" s="59"/>
      <c r="B174" s="59"/>
      <c r="C174" s="59"/>
      <c r="D174" s="59"/>
      <c r="E174" s="59"/>
      <c r="F174" s="59"/>
      <c r="G174" s="59"/>
      <c r="H174" s="59"/>
      <c r="I174" s="59"/>
    </row>
    <row r="175" spans="1:9">
      <c r="A175" s="59" t="s">
        <v>32</v>
      </c>
      <c r="B175" s="59"/>
      <c r="C175" s="69" t="e">
        <f>SUM(C170:C173)</f>
        <v>#REF!</v>
      </c>
      <c r="D175" s="69" t="e">
        <f t="shared" ref="D175:I175" si="29">SUM(D170:D173)</f>
        <v>#REF!</v>
      </c>
      <c r="E175" s="69" t="e">
        <f t="shared" si="29"/>
        <v>#REF!</v>
      </c>
      <c r="F175" s="69" t="e">
        <f t="shared" si="29"/>
        <v>#REF!</v>
      </c>
      <c r="G175" s="69" t="e">
        <f t="shared" si="29"/>
        <v>#REF!</v>
      </c>
      <c r="H175" s="69" t="e">
        <f t="shared" si="29"/>
        <v>#REF!</v>
      </c>
      <c r="I175" s="69" t="e">
        <f t="shared" si="29"/>
        <v>#REF!</v>
      </c>
    </row>
    <row r="176" spans="1:9">
      <c r="A176" s="59" t="s">
        <v>339</v>
      </c>
      <c r="B176" s="70" t="e">
        <f>-'1.Project Cost and MOF'!#REF!</f>
        <v>#REF!</v>
      </c>
      <c r="C176" s="69" t="e">
        <f>C175</f>
        <v>#REF!</v>
      </c>
      <c r="D176" s="69" t="e">
        <f t="shared" ref="D176:I176" si="30">D175</f>
        <v>#REF!</v>
      </c>
      <c r="E176" s="69" t="e">
        <f t="shared" si="30"/>
        <v>#REF!</v>
      </c>
      <c r="F176" s="69" t="e">
        <f t="shared" si="30"/>
        <v>#REF!</v>
      </c>
      <c r="G176" s="69" t="e">
        <f t="shared" si="30"/>
        <v>#REF!</v>
      </c>
      <c r="H176" s="69" t="e">
        <f t="shared" si="30"/>
        <v>#REF!</v>
      </c>
      <c r="I176" s="69" t="e">
        <f t="shared" si="30"/>
        <v>#REF!</v>
      </c>
    </row>
    <row r="177" spans="1:9">
      <c r="A177" s="59" t="s">
        <v>278</v>
      </c>
      <c r="B177" s="224" t="e">
        <f>IRR(B176:I176)</f>
        <v>#VALUE!</v>
      </c>
      <c r="C177" s="69"/>
      <c r="D177" s="69"/>
      <c r="E177" s="69"/>
      <c r="F177" s="69"/>
      <c r="G177" s="69"/>
      <c r="H177" s="69"/>
      <c r="I177" s="69"/>
    </row>
    <row r="178" spans="1:9">
      <c r="A178" s="59"/>
      <c r="B178" s="59"/>
      <c r="C178" s="59"/>
      <c r="D178" s="59"/>
      <c r="E178" s="59"/>
      <c r="F178" s="59"/>
      <c r="G178" s="59"/>
      <c r="H178" s="59"/>
      <c r="I178" s="59"/>
    </row>
    <row r="179" spans="1:9" ht="16.5">
      <c r="A179" s="225" t="s">
        <v>398</v>
      </c>
      <c r="B179" s="225"/>
      <c r="C179" s="226" t="e">
        <f>1/(1+$B$177)</f>
        <v>#VALUE!</v>
      </c>
      <c r="D179" s="226" t="e">
        <f>C179/(1+$B$177)</f>
        <v>#VALUE!</v>
      </c>
      <c r="E179" s="226" t="e">
        <f>D179/(1+$B$177)</f>
        <v>#VALUE!</v>
      </c>
      <c r="F179" s="226" t="e">
        <f t="shared" ref="F179:I179" si="31">E179/(1+$B$177)</f>
        <v>#VALUE!</v>
      </c>
      <c r="G179" s="226" t="e">
        <f t="shared" si="31"/>
        <v>#VALUE!</v>
      </c>
      <c r="H179" s="226" t="e">
        <f t="shared" si="31"/>
        <v>#VALUE!</v>
      </c>
      <c r="I179" s="226" t="e">
        <f t="shared" si="31"/>
        <v>#VALUE!</v>
      </c>
    </row>
    <row r="180" spans="1:9">
      <c r="A180" s="59" t="s">
        <v>33</v>
      </c>
      <c r="B180" s="59"/>
      <c r="C180" s="69" t="e">
        <f t="shared" ref="C180:I180" si="32">C175*C179</f>
        <v>#REF!</v>
      </c>
      <c r="D180" s="69" t="e">
        <f t="shared" si="32"/>
        <v>#REF!</v>
      </c>
      <c r="E180" s="69" t="e">
        <f t="shared" si="32"/>
        <v>#REF!</v>
      </c>
      <c r="F180" s="69" t="e">
        <f t="shared" si="32"/>
        <v>#REF!</v>
      </c>
      <c r="G180" s="69" t="e">
        <f t="shared" si="32"/>
        <v>#REF!</v>
      </c>
      <c r="H180" s="69" t="e">
        <f t="shared" si="32"/>
        <v>#REF!</v>
      </c>
      <c r="I180" s="69" t="e">
        <f t="shared" si="32"/>
        <v>#REF!</v>
      </c>
    </row>
    <row r="181" spans="1:9">
      <c r="A181" s="59" t="s">
        <v>34</v>
      </c>
      <c r="B181" s="59"/>
      <c r="C181" s="456" t="e">
        <f>SUM(C180:I180)</f>
        <v>#REF!</v>
      </c>
      <c r="D181" s="456"/>
      <c r="E181" s="456"/>
      <c r="F181" s="456"/>
      <c r="G181" s="456"/>
      <c r="H181" s="456"/>
      <c r="I181" s="456"/>
    </row>
    <row r="182" spans="1:9">
      <c r="A182" s="59"/>
      <c r="B182" s="59"/>
      <c r="C182" s="69"/>
      <c r="D182" s="69"/>
      <c r="E182" s="69"/>
      <c r="F182" s="69"/>
      <c r="G182" s="69"/>
      <c r="H182" s="69"/>
      <c r="I182" s="69"/>
    </row>
    <row r="183" spans="1:9">
      <c r="A183" s="8" t="s">
        <v>35</v>
      </c>
      <c r="B183" s="8"/>
      <c r="C183" s="457" t="e">
        <f>-B176</f>
        <v>#REF!</v>
      </c>
      <c r="D183" s="457"/>
      <c r="E183" s="457"/>
      <c r="F183" s="457"/>
      <c r="G183" s="457"/>
      <c r="H183" s="457"/>
      <c r="I183" s="457"/>
    </row>
    <row r="184" spans="1:9">
      <c r="E184" s="14" t="e">
        <f>C181-C183</f>
        <v>#REF!</v>
      </c>
    </row>
    <row r="185" spans="1:9">
      <c r="A185" s="450" t="s">
        <v>415</v>
      </c>
      <c r="B185" s="450"/>
      <c r="C185" s="450"/>
      <c r="D185" s="450"/>
      <c r="E185" s="450"/>
      <c r="F185" s="450"/>
      <c r="G185" s="450"/>
      <c r="H185" s="450"/>
      <c r="I185" s="450"/>
    </row>
    <row r="187" spans="1:9" ht="17.5">
      <c r="A187" s="411" t="s">
        <v>560</v>
      </c>
      <c r="B187" s="411"/>
      <c r="C187" s="411"/>
      <c r="D187" s="411"/>
      <c r="E187" s="411"/>
      <c r="F187" s="411"/>
      <c r="G187" s="411"/>
      <c r="H187" s="411"/>
    </row>
    <row r="189" spans="1:9">
      <c r="A189" s="89" t="s">
        <v>0</v>
      </c>
      <c r="B189" s="80" t="s">
        <v>2</v>
      </c>
      <c r="C189" s="80" t="s">
        <v>3</v>
      </c>
      <c r="D189" s="80" t="s">
        <v>4</v>
      </c>
      <c r="E189" s="80" t="s">
        <v>5</v>
      </c>
      <c r="F189" s="80" t="s">
        <v>6</v>
      </c>
      <c r="G189" s="80" t="s">
        <v>169</v>
      </c>
      <c r="H189" s="80" t="s">
        <v>168</v>
      </c>
    </row>
    <row r="190" spans="1:9">
      <c r="A190" s="73"/>
      <c r="B190" s="73"/>
      <c r="C190" s="73"/>
      <c r="D190" s="73"/>
      <c r="E190" s="73"/>
      <c r="F190" s="73"/>
      <c r="G190" s="73"/>
      <c r="H190" s="73"/>
    </row>
    <row r="191" spans="1:9">
      <c r="A191" s="73" t="s">
        <v>37</v>
      </c>
      <c r="B191" s="73"/>
      <c r="C191" s="73"/>
      <c r="D191" s="73"/>
      <c r="E191" s="73"/>
      <c r="F191" s="73"/>
      <c r="G191" s="73"/>
      <c r="H191" s="73"/>
    </row>
    <row r="192" spans="1:9">
      <c r="A192" s="73"/>
      <c r="B192" s="74"/>
      <c r="C192" s="74"/>
      <c r="D192" s="74"/>
      <c r="E192" s="74"/>
      <c r="F192" s="74"/>
      <c r="G192" s="74"/>
      <c r="H192" s="74"/>
    </row>
    <row r="193" spans="1:8">
      <c r="A193" s="86" t="str">
        <f>A8</f>
        <v>Faclitiy 1 - Cleaning &amp; Grading</v>
      </c>
      <c r="B193" s="74">
        <f t="shared" ref="B193:H193" si="33">B8</f>
        <v>60521852.159999989</v>
      </c>
      <c r="C193" s="74">
        <f t="shared" si="33"/>
        <v>69485505.264000013</v>
      </c>
      <c r="D193" s="74">
        <f t="shared" si="33"/>
        <v>78576391.807200015</v>
      </c>
      <c r="E193" s="74">
        <f t="shared" si="33"/>
        <v>88402653.241560012</v>
      </c>
      <c r="F193" s="74">
        <f t="shared" si="33"/>
        <v>99015099.839838043</v>
      </c>
      <c r="G193" s="74">
        <f t="shared" si="33"/>
        <v>110467784.46483998</v>
      </c>
      <c r="H193" s="74">
        <f t="shared" si="33"/>
        <v>122818199.80274245</v>
      </c>
    </row>
    <row r="194" spans="1:8">
      <c r="A194" s="86" t="str">
        <f t="shared" ref="A194:H198" si="34">A9</f>
        <v>Faclitiy 2 - Processing Unit- Dal Mill</v>
      </c>
      <c r="B194" s="74">
        <f t="shared" si="34"/>
        <v>0</v>
      </c>
      <c r="C194" s="74">
        <f t="shared" si="34"/>
        <v>0</v>
      </c>
      <c r="D194" s="74">
        <f t="shared" si="34"/>
        <v>0</v>
      </c>
      <c r="E194" s="74">
        <f t="shared" si="34"/>
        <v>0</v>
      </c>
      <c r="F194" s="74">
        <f t="shared" si="34"/>
        <v>0</v>
      </c>
      <c r="G194" s="74">
        <f t="shared" si="34"/>
        <v>0</v>
      </c>
      <c r="H194" s="74">
        <f t="shared" si="34"/>
        <v>0</v>
      </c>
    </row>
    <row r="195" spans="1:8">
      <c r="A195" s="86" t="str">
        <f t="shared" si="34"/>
        <v>Faclitiy 3 - Warehouse</v>
      </c>
      <c r="B195" s="74">
        <f t="shared" si="34"/>
        <v>1028160</v>
      </c>
      <c r="C195" s="74">
        <f t="shared" si="34"/>
        <v>1156680</v>
      </c>
      <c r="D195" s="74">
        <f t="shared" si="34"/>
        <v>1295481.6000000001</v>
      </c>
      <c r="E195" s="74">
        <f t="shared" si="34"/>
        <v>1445271.6600000004</v>
      </c>
      <c r="F195" s="74">
        <f t="shared" si="34"/>
        <v>1606802.0220000006</v>
      </c>
      <c r="G195" s="74">
        <f t="shared" si="34"/>
        <v>1780872.241050001</v>
      </c>
      <c r="H195" s="74">
        <f t="shared" si="34"/>
        <v>1968332.4769500012</v>
      </c>
    </row>
    <row r="196" spans="1:8">
      <c r="A196" s="86" t="str">
        <f t="shared" si="34"/>
        <v xml:space="preserve">Faclitiy 4 - Custom Hiring </v>
      </c>
      <c r="B196" s="74">
        <f t="shared" si="34"/>
        <v>0</v>
      </c>
      <c r="C196" s="74">
        <f t="shared" si="34"/>
        <v>0</v>
      </c>
      <c r="D196" s="74">
        <f t="shared" si="34"/>
        <v>0</v>
      </c>
      <c r="E196" s="74">
        <f t="shared" si="34"/>
        <v>0</v>
      </c>
      <c r="F196" s="74">
        <f t="shared" si="34"/>
        <v>0</v>
      </c>
      <c r="G196" s="74">
        <f t="shared" si="34"/>
        <v>0</v>
      </c>
      <c r="H196" s="74">
        <f t="shared" si="34"/>
        <v>0</v>
      </c>
    </row>
    <row r="197" spans="1:8">
      <c r="A197" s="86" t="str">
        <f t="shared" si="34"/>
        <v>Faclitiy 5 - Agri Input Centre</v>
      </c>
      <c r="B197" s="74">
        <f t="shared" si="34"/>
        <v>0</v>
      </c>
      <c r="C197" s="74">
        <f t="shared" si="34"/>
        <v>0</v>
      </c>
      <c r="D197" s="74">
        <f t="shared" si="34"/>
        <v>0</v>
      </c>
      <c r="E197" s="74">
        <f t="shared" si="34"/>
        <v>0</v>
      </c>
      <c r="F197" s="74">
        <f t="shared" si="34"/>
        <v>0</v>
      </c>
      <c r="G197" s="74">
        <f t="shared" si="34"/>
        <v>0</v>
      </c>
      <c r="H197" s="74">
        <f t="shared" si="34"/>
        <v>0</v>
      </c>
    </row>
    <row r="198" spans="1:8">
      <c r="A198" s="86" t="str">
        <f t="shared" si="34"/>
        <v>Facility 6 - Processing Unit - Horti Commodity</v>
      </c>
      <c r="B198" s="74">
        <f t="shared" si="34"/>
        <v>0</v>
      </c>
      <c r="C198" s="74">
        <f t="shared" si="34"/>
        <v>0</v>
      </c>
      <c r="D198" s="74">
        <f t="shared" si="34"/>
        <v>0</v>
      </c>
      <c r="E198" s="74">
        <f t="shared" si="34"/>
        <v>0</v>
      </c>
      <c r="F198" s="74">
        <f t="shared" si="34"/>
        <v>0</v>
      </c>
      <c r="G198" s="74">
        <f t="shared" si="34"/>
        <v>0</v>
      </c>
      <c r="H198" s="74">
        <f t="shared" si="34"/>
        <v>0</v>
      </c>
    </row>
    <row r="199" spans="1:8">
      <c r="A199" s="86"/>
      <c r="B199" s="86"/>
      <c r="C199" s="86"/>
      <c r="D199" s="86"/>
      <c r="E199" s="86"/>
      <c r="F199" s="86"/>
      <c r="G199" s="86"/>
      <c r="H199" s="86"/>
    </row>
    <row r="200" spans="1:8">
      <c r="A200" s="75" t="s">
        <v>8</v>
      </c>
      <c r="B200" s="91">
        <f>SUM(B193:B199)</f>
        <v>61550012.159999989</v>
      </c>
      <c r="C200" s="91">
        <f t="shared" ref="C200:H200" si="35">SUM(C193:C199)</f>
        <v>70642185.264000013</v>
      </c>
      <c r="D200" s="91">
        <f t="shared" si="35"/>
        <v>79871873.407200009</v>
      </c>
      <c r="E200" s="91">
        <f t="shared" si="35"/>
        <v>89847924.901560009</v>
      </c>
      <c r="F200" s="91">
        <f t="shared" si="35"/>
        <v>100621901.86183804</v>
      </c>
      <c r="G200" s="91">
        <f t="shared" si="35"/>
        <v>112248656.70588998</v>
      </c>
      <c r="H200" s="91">
        <f t="shared" si="35"/>
        <v>124786532.27969246</v>
      </c>
    </row>
    <row r="201" spans="1:8">
      <c r="A201" s="73"/>
      <c r="B201" s="74"/>
      <c r="C201" s="74"/>
      <c r="D201" s="74"/>
      <c r="E201" s="74"/>
      <c r="F201" s="74"/>
      <c r="G201" s="74"/>
      <c r="H201" s="74"/>
    </row>
    <row r="202" spans="1:8">
      <c r="A202" s="73" t="s">
        <v>38</v>
      </c>
      <c r="B202" s="74">
        <f>B25</f>
        <v>57572284.32</v>
      </c>
      <c r="C202" s="74">
        <f t="shared" ref="C202:H202" si="36">C25</f>
        <v>66043190.844000004</v>
      </c>
      <c r="D202" s="74">
        <f t="shared" si="36"/>
        <v>74660678.51760003</v>
      </c>
      <c r="E202" s="74">
        <f t="shared" si="36"/>
        <v>83974806.981450021</v>
      </c>
      <c r="F202" s="74">
        <f t="shared" si="36"/>
        <v>94033696.595391035</v>
      </c>
      <c r="G202" s="74">
        <f t="shared" si="36"/>
        <v>104888538.15327249</v>
      </c>
      <c r="H202" s="74">
        <f t="shared" si="36"/>
        <v>116593779.62545373</v>
      </c>
    </row>
    <row r="203" spans="1:8">
      <c r="A203" s="73"/>
      <c r="B203" s="74"/>
      <c r="C203" s="74"/>
      <c r="D203" s="74"/>
      <c r="E203" s="74"/>
      <c r="F203" s="74"/>
      <c r="G203" s="74"/>
      <c r="H203" s="74"/>
    </row>
    <row r="204" spans="1:8">
      <c r="A204" s="75" t="s">
        <v>39</v>
      </c>
      <c r="B204" s="91">
        <f>B200-B202</f>
        <v>3977727.8399999887</v>
      </c>
      <c r="C204" s="91">
        <f t="shared" ref="C204:H204" si="37">C200-C202</f>
        <v>4598994.4200000092</v>
      </c>
      <c r="D204" s="91">
        <f t="shared" si="37"/>
        <v>5211194.8895999789</v>
      </c>
      <c r="E204" s="91">
        <f t="shared" si="37"/>
        <v>5873117.9201099873</v>
      </c>
      <c r="F204" s="91">
        <f t="shared" si="37"/>
        <v>6588205.2664470077</v>
      </c>
      <c r="G204" s="91">
        <f t="shared" si="37"/>
        <v>7360118.5526174903</v>
      </c>
      <c r="H204" s="91">
        <f t="shared" si="37"/>
        <v>8192752.6542387307</v>
      </c>
    </row>
    <row r="205" spans="1:8">
      <c r="A205" s="73"/>
      <c r="B205" s="74"/>
      <c r="C205" s="74"/>
      <c r="D205" s="74"/>
      <c r="E205" s="74"/>
      <c r="F205" s="74"/>
      <c r="G205" s="74"/>
      <c r="H205" s="74"/>
    </row>
    <row r="206" spans="1:8">
      <c r="A206" s="75" t="s">
        <v>41</v>
      </c>
      <c r="B206" s="91">
        <f>B36+B42+B43</f>
        <v>1269267.7429800001</v>
      </c>
      <c r="C206" s="91">
        <f t="shared" ref="C206:H206" si="38">C36+C42+C43</f>
        <v>1304767.7429800001</v>
      </c>
      <c r="D206" s="91">
        <f t="shared" si="38"/>
        <v>1342042.7429800001</v>
      </c>
      <c r="E206" s="91">
        <f t="shared" si="38"/>
        <v>1381181.4929800001</v>
      </c>
      <c r="F206" s="91">
        <f t="shared" si="38"/>
        <v>1422277.1804800001</v>
      </c>
      <c r="G206" s="91">
        <f t="shared" si="38"/>
        <v>1450595.6523550004</v>
      </c>
      <c r="H206" s="91">
        <f t="shared" si="38"/>
        <v>1495903.6478237503</v>
      </c>
    </row>
    <row r="207" spans="1:8">
      <c r="A207" s="73"/>
      <c r="B207" s="73"/>
      <c r="C207" s="73"/>
      <c r="D207" s="73"/>
      <c r="E207" s="73"/>
      <c r="F207" s="73"/>
      <c r="G207" s="73"/>
      <c r="H207" s="73"/>
    </row>
    <row r="208" spans="1:8">
      <c r="A208" s="73" t="s">
        <v>40</v>
      </c>
      <c r="B208" s="90">
        <f>B206/B204</f>
        <v>0.31909366201886846</v>
      </c>
      <c r="C208" s="90">
        <f>C206/C204</f>
        <v>0.2837071811406976</v>
      </c>
      <c r="D208" s="90">
        <f>D206/D204</f>
        <v>0.25753071443524883</v>
      </c>
      <c r="E208" s="90">
        <f>E206/E204</f>
        <v>0.23517005988433046</v>
      </c>
      <c r="F208" s="90">
        <f>F206/F204</f>
        <v>0.21588234169379916</v>
      </c>
      <c r="G208" s="90">
        <f t="shared" ref="G208:H208" si="39">G206/G204</f>
        <v>0.19708862594871149</v>
      </c>
      <c r="H208" s="90">
        <f t="shared" si="39"/>
        <v>0.18258865011014414</v>
      </c>
    </row>
    <row r="209" spans="1:9">
      <c r="A209" s="72"/>
      <c r="B209" s="72"/>
      <c r="C209" s="72"/>
      <c r="D209" s="72"/>
      <c r="E209" s="72"/>
      <c r="F209" s="72"/>
      <c r="G209" s="72"/>
      <c r="H209" s="72"/>
    </row>
    <row r="210" spans="1:9">
      <c r="A210" s="92" t="s">
        <v>134</v>
      </c>
      <c r="B210" s="93">
        <f>AVERAGE(B208:H208)</f>
        <v>0.24158017646168575</v>
      </c>
      <c r="C210" s="72"/>
      <c r="D210" s="72"/>
      <c r="E210" s="72"/>
      <c r="F210" s="72"/>
      <c r="G210" s="72"/>
      <c r="H210" s="72"/>
    </row>
    <row r="212" spans="1:9">
      <c r="A212" s="451" t="s">
        <v>416</v>
      </c>
      <c r="B212" s="451"/>
      <c r="C212" s="451"/>
      <c r="D212" s="451"/>
      <c r="E212" s="451"/>
      <c r="F212" s="451"/>
      <c r="G212" s="451"/>
      <c r="H212" s="451"/>
      <c r="I212" s="451"/>
    </row>
    <row r="215" spans="1:9" ht="17.5">
      <c r="A215" s="411" t="s">
        <v>561</v>
      </c>
      <c r="B215" s="411"/>
      <c r="C215" s="411"/>
      <c r="D215" s="411"/>
      <c r="E215" s="411"/>
      <c r="F215" s="411"/>
      <c r="G215" s="411"/>
      <c r="H215" s="411"/>
    </row>
    <row r="217" spans="1:9">
      <c r="A217" s="64" t="s">
        <v>29</v>
      </c>
      <c r="B217" s="65" t="s">
        <v>2</v>
      </c>
      <c r="C217" s="65" t="s">
        <v>3</v>
      </c>
      <c r="D217" s="65" t="s">
        <v>4</v>
      </c>
      <c r="E217" s="65" t="s">
        <v>5</v>
      </c>
      <c r="F217" s="65" t="s">
        <v>6</v>
      </c>
      <c r="G217" s="65" t="s">
        <v>169</v>
      </c>
      <c r="H217" s="65" t="s">
        <v>168</v>
      </c>
    </row>
    <row r="218" spans="1:9">
      <c r="A218" s="73"/>
      <c r="B218" s="73"/>
      <c r="C218" s="73"/>
      <c r="D218" s="73"/>
      <c r="E218" s="73"/>
      <c r="F218" s="73"/>
      <c r="G218" s="73"/>
      <c r="H218" s="73"/>
    </row>
    <row r="219" spans="1:9">
      <c r="A219" s="73" t="s">
        <v>371</v>
      </c>
      <c r="B219" s="275" t="e">
        <f>B51</f>
        <v>#REF!</v>
      </c>
      <c r="C219" s="275" t="e">
        <f t="shared" ref="C219:H219" si="40">C51</f>
        <v>#REF!</v>
      </c>
      <c r="D219" s="275" t="e">
        <f t="shared" si="40"/>
        <v>#REF!</v>
      </c>
      <c r="E219" s="275" t="e">
        <f t="shared" si="40"/>
        <v>#REF!</v>
      </c>
      <c r="F219" s="275" t="e">
        <f t="shared" si="40"/>
        <v>#REF!</v>
      </c>
      <c r="G219" s="275" t="e">
        <f t="shared" si="40"/>
        <v>#REF!</v>
      </c>
      <c r="H219" s="275" t="e">
        <f t="shared" si="40"/>
        <v>#REF!</v>
      </c>
    </row>
    <row r="220" spans="1:9">
      <c r="A220" s="73"/>
      <c r="B220" s="275"/>
      <c r="C220" s="275"/>
      <c r="D220" s="275"/>
      <c r="E220" s="275"/>
      <c r="F220" s="275"/>
      <c r="G220" s="275"/>
      <c r="H220" s="275"/>
    </row>
    <row r="221" spans="1:9">
      <c r="A221" s="73" t="s">
        <v>42</v>
      </c>
      <c r="B221" s="275">
        <f>B42</f>
        <v>544435.74297999998</v>
      </c>
      <c r="C221" s="275">
        <f t="shared" ref="C221:H222" si="41">C42</f>
        <v>544435.74297999998</v>
      </c>
      <c r="D221" s="275">
        <f t="shared" si="41"/>
        <v>544435.74297999998</v>
      </c>
      <c r="E221" s="275">
        <f t="shared" si="41"/>
        <v>544435.74297999998</v>
      </c>
      <c r="F221" s="275">
        <f t="shared" si="41"/>
        <v>544435.74297999998</v>
      </c>
      <c r="G221" s="275">
        <f t="shared" si="41"/>
        <v>544435.74297999998</v>
      </c>
      <c r="H221" s="275">
        <f t="shared" si="41"/>
        <v>544435.74297999998</v>
      </c>
    </row>
    <row r="222" spans="1:9">
      <c r="A222" s="85" t="s">
        <v>48</v>
      </c>
      <c r="B222" s="275">
        <f>B43</f>
        <v>14832</v>
      </c>
      <c r="C222" s="275">
        <f t="shared" si="41"/>
        <v>14832</v>
      </c>
      <c r="D222" s="275">
        <f t="shared" si="41"/>
        <v>14832</v>
      </c>
      <c r="E222" s="275">
        <f t="shared" si="41"/>
        <v>14832</v>
      </c>
      <c r="F222" s="275">
        <f t="shared" si="41"/>
        <v>14832</v>
      </c>
      <c r="G222" s="275">
        <f t="shared" si="41"/>
        <v>0</v>
      </c>
      <c r="H222" s="275">
        <f t="shared" si="41"/>
        <v>0</v>
      </c>
    </row>
    <row r="223" spans="1:9">
      <c r="A223" s="73"/>
      <c r="B223" s="275"/>
      <c r="C223" s="275"/>
      <c r="D223" s="275"/>
      <c r="E223" s="275"/>
      <c r="F223" s="275"/>
      <c r="G223" s="275"/>
      <c r="H223" s="275"/>
    </row>
    <row r="224" spans="1:9">
      <c r="A224" s="73" t="s">
        <v>32</v>
      </c>
      <c r="B224" s="275" t="e">
        <f>SUM(B219:B222)</f>
        <v>#REF!</v>
      </c>
      <c r="C224" s="275" t="e">
        <f t="shared" ref="C224:H224" si="42">SUM(C219:C222)</f>
        <v>#REF!</v>
      </c>
      <c r="D224" s="275" t="e">
        <f t="shared" si="42"/>
        <v>#REF!</v>
      </c>
      <c r="E224" s="275" t="e">
        <f t="shared" si="42"/>
        <v>#REF!</v>
      </c>
      <c r="F224" s="275" t="e">
        <f t="shared" si="42"/>
        <v>#REF!</v>
      </c>
      <c r="G224" s="275" t="e">
        <f t="shared" si="42"/>
        <v>#REF!</v>
      </c>
      <c r="H224" s="275" t="e">
        <f t="shared" si="42"/>
        <v>#REF!</v>
      </c>
    </row>
    <row r="225" spans="1:9">
      <c r="A225" s="73"/>
      <c r="B225" s="73"/>
      <c r="C225" s="73"/>
      <c r="D225" s="73"/>
      <c r="E225" s="73"/>
      <c r="F225" s="73"/>
      <c r="G225" s="73"/>
      <c r="H225" s="73"/>
    </row>
    <row r="226" spans="1:9" ht="16.5">
      <c r="A226" s="10" t="s">
        <v>43</v>
      </c>
      <c r="B226" s="86">
        <f>1/1.1</f>
        <v>0.90909090909090906</v>
      </c>
      <c r="C226" s="86">
        <f t="shared" ref="C226:H226" si="43">B226/1.1</f>
        <v>0.82644628099173545</v>
      </c>
      <c r="D226" s="86">
        <f t="shared" si="43"/>
        <v>0.75131480090157765</v>
      </c>
      <c r="E226" s="86">
        <f t="shared" si="43"/>
        <v>0.68301345536507052</v>
      </c>
      <c r="F226" s="86">
        <f t="shared" si="43"/>
        <v>0.62092132305915493</v>
      </c>
      <c r="G226" s="86">
        <f t="shared" si="43"/>
        <v>0.56447393005377711</v>
      </c>
      <c r="H226" s="86">
        <f t="shared" si="43"/>
        <v>0.51315811823070645</v>
      </c>
    </row>
    <row r="227" spans="1:9">
      <c r="A227" s="73"/>
      <c r="B227" s="73"/>
      <c r="C227" s="73"/>
      <c r="D227" s="73"/>
      <c r="E227" s="73"/>
      <c r="F227" s="73"/>
      <c r="G227" s="73"/>
      <c r="H227" s="73"/>
    </row>
    <row r="228" spans="1:9" ht="16.5">
      <c r="A228" s="10" t="s">
        <v>44</v>
      </c>
      <c r="B228" s="74" t="e">
        <f>B224*B226</f>
        <v>#REF!</v>
      </c>
      <c r="C228" s="74" t="e">
        <f t="shared" ref="C228:H228" si="44">C224*C226</f>
        <v>#REF!</v>
      </c>
      <c r="D228" s="74" t="e">
        <f t="shared" si="44"/>
        <v>#REF!</v>
      </c>
      <c r="E228" s="74" t="e">
        <f t="shared" si="44"/>
        <v>#REF!</v>
      </c>
      <c r="F228" s="74" t="e">
        <f t="shared" si="44"/>
        <v>#REF!</v>
      </c>
      <c r="G228" s="74" t="e">
        <f t="shared" si="44"/>
        <v>#REF!</v>
      </c>
      <c r="H228" s="74" t="e">
        <f t="shared" si="44"/>
        <v>#REF!</v>
      </c>
    </row>
    <row r="229" spans="1:9">
      <c r="A229" s="72"/>
      <c r="B229" s="88"/>
      <c r="C229" s="88"/>
      <c r="D229" s="88"/>
      <c r="E229" s="88"/>
      <c r="F229" s="88"/>
      <c r="G229" s="88"/>
      <c r="H229" s="88"/>
    </row>
    <row r="230" spans="1:9" ht="16.5">
      <c r="A230" s="11" t="s">
        <v>45</v>
      </c>
      <c r="B230" s="88" t="e">
        <f>SUM(B228:H228)</f>
        <v>#REF!</v>
      </c>
      <c r="C230" s="88"/>
      <c r="D230" s="88"/>
      <c r="E230" s="88"/>
      <c r="F230" s="88"/>
      <c r="G230" s="88"/>
      <c r="H230" s="88"/>
    </row>
    <row r="231" spans="1:9">
      <c r="A231" s="72"/>
      <c r="B231" s="88"/>
      <c r="C231" s="88"/>
      <c r="D231" s="88"/>
      <c r="E231" s="88"/>
      <c r="F231" s="88"/>
      <c r="G231" s="88"/>
      <c r="H231" s="88"/>
    </row>
    <row r="232" spans="1:9" ht="16.5">
      <c r="A232" s="11" t="s">
        <v>46</v>
      </c>
      <c r="B232" s="88" t="e">
        <f>-B176</f>
        <v>#REF!</v>
      </c>
      <c r="C232" s="88"/>
      <c r="D232" s="88"/>
      <c r="E232" s="88"/>
      <c r="F232" s="88"/>
      <c r="G232" s="88"/>
      <c r="H232" s="88"/>
    </row>
    <row r="233" spans="1:9">
      <c r="A233" s="72"/>
      <c r="B233" s="87"/>
      <c r="C233" s="72"/>
      <c r="D233" s="72"/>
      <c r="E233" s="72"/>
      <c r="F233" s="72"/>
      <c r="G233" s="72"/>
      <c r="H233" s="72"/>
    </row>
    <row r="234" spans="1:9" ht="16.5">
      <c r="A234" s="11" t="s">
        <v>47</v>
      </c>
      <c r="B234" s="87" t="e">
        <f>B230-B232</f>
        <v>#REF!</v>
      </c>
      <c r="C234" s="72"/>
      <c r="D234" s="72"/>
      <c r="E234" s="72"/>
      <c r="F234" s="72"/>
      <c r="G234" s="72"/>
      <c r="H234" s="72"/>
    </row>
    <row r="236" spans="1:9">
      <c r="A236" s="442" t="s">
        <v>417</v>
      </c>
      <c r="B236" s="442"/>
      <c r="C236" s="442"/>
      <c r="D236" s="442"/>
      <c r="E236" s="442"/>
      <c r="F236" s="442"/>
      <c r="G236" s="442"/>
      <c r="H236" s="442"/>
      <c r="I236" s="442"/>
    </row>
    <row r="237" spans="1:9" ht="17.5">
      <c r="A237" s="411" t="s">
        <v>562</v>
      </c>
      <c r="B237" s="411"/>
      <c r="C237" s="411"/>
      <c r="D237" s="411"/>
      <c r="E237" s="411"/>
      <c r="F237" s="411"/>
      <c r="G237" s="411"/>
      <c r="H237" s="411"/>
    </row>
    <row r="238" spans="1:9">
      <c r="A238" s="72"/>
      <c r="B238" s="72"/>
      <c r="C238" s="72"/>
      <c r="D238" s="72"/>
      <c r="E238" s="72"/>
      <c r="F238" s="72"/>
      <c r="G238" s="72"/>
      <c r="H238" s="72"/>
    </row>
    <row r="239" spans="1:9" ht="15.5">
      <c r="A239" s="57" t="s">
        <v>0</v>
      </c>
      <c r="B239" s="57" t="s">
        <v>2</v>
      </c>
      <c r="C239" s="57" t="s">
        <v>3</v>
      </c>
      <c r="D239" s="57" t="s">
        <v>4</v>
      </c>
      <c r="E239" s="57" t="s">
        <v>5</v>
      </c>
      <c r="F239" s="57" t="s">
        <v>6</v>
      </c>
      <c r="G239" s="57" t="s">
        <v>169</v>
      </c>
      <c r="H239" s="57" t="s">
        <v>168</v>
      </c>
    </row>
    <row r="240" spans="1:9" ht="15.5">
      <c r="A240" s="54"/>
      <c r="B240" s="55"/>
      <c r="C240" s="55"/>
      <c r="D240" s="55"/>
      <c r="E240" s="55"/>
      <c r="F240" s="55"/>
      <c r="G240" s="55"/>
      <c r="H240" s="55"/>
    </row>
    <row r="241" spans="1:9">
      <c r="A241" s="75" t="s">
        <v>27</v>
      </c>
      <c r="B241" s="74" t="e">
        <f>B51</f>
        <v>#REF!</v>
      </c>
      <c r="C241" s="74" t="e">
        <f t="shared" ref="C241:H241" si="45">C51</f>
        <v>#REF!</v>
      </c>
      <c r="D241" s="74" t="e">
        <f t="shared" si="45"/>
        <v>#REF!</v>
      </c>
      <c r="E241" s="74" t="e">
        <f t="shared" si="45"/>
        <v>#REF!</v>
      </c>
      <c r="F241" s="74" t="e">
        <f t="shared" si="45"/>
        <v>#REF!</v>
      </c>
      <c r="G241" s="74" t="e">
        <f t="shared" si="45"/>
        <v>#REF!</v>
      </c>
      <c r="H241" s="74" t="e">
        <f t="shared" si="45"/>
        <v>#REF!</v>
      </c>
    </row>
    <row r="242" spans="1:9">
      <c r="A242" s="73"/>
      <c r="B242" s="73"/>
      <c r="C242" s="73"/>
      <c r="D242" s="73"/>
      <c r="E242" s="73"/>
      <c r="F242" s="73"/>
      <c r="G242" s="73"/>
      <c r="H242" s="73"/>
    </row>
    <row r="243" spans="1:9">
      <c r="A243" s="75" t="s">
        <v>124</v>
      </c>
      <c r="B243" s="459" t="e">
        <f>AVERAGE(B241:H241)</f>
        <v>#REF!</v>
      </c>
      <c r="C243" s="459"/>
      <c r="D243" s="459"/>
      <c r="E243" s="459"/>
      <c r="F243" s="459"/>
      <c r="G243" s="459"/>
      <c r="H243" s="459"/>
    </row>
    <row r="244" spans="1:9">
      <c r="A244" s="75" t="s">
        <v>125</v>
      </c>
      <c r="B244" s="459" t="e">
        <f>B232</f>
        <v>#REF!</v>
      </c>
      <c r="C244" s="459"/>
      <c r="D244" s="459"/>
      <c r="E244" s="459"/>
      <c r="F244" s="459"/>
      <c r="G244" s="459"/>
      <c r="H244" s="459"/>
    </row>
    <row r="245" spans="1:9">
      <c r="A245" s="73"/>
      <c r="B245" s="73"/>
      <c r="C245" s="73"/>
      <c r="D245" s="73"/>
      <c r="E245" s="73"/>
      <c r="F245" s="73"/>
      <c r="G245" s="73"/>
      <c r="H245" s="73"/>
    </row>
    <row r="246" spans="1:9">
      <c r="A246" s="223" t="s">
        <v>126</v>
      </c>
      <c r="B246" s="460" t="e">
        <f>B243/B244</f>
        <v>#REF!</v>
      </c>
      <c r="C246" s="460"/>
      <c r="D246" s="460"/>
      <c r="E246" s="460"/>
      <c r="F246" s="460"/>
      <c r="G246" s="460"/>
      <c r="H246" s="460"/>
    </row>
    <row r="249" spans="1:9">
      <c r="A249" s="458" t="s">
        <v>418</v>
      </c>
      <c r="B249" s="458"/>
      <c r="C249" s="458"/>
      <c r="D249" s="458"/>
      <c r="E249" s="458"/>
      <c r="F249" s="458"/>
      <c r="G249" s="458"/>
      <c r="H249" s="458"/>
    </row>
    <row r="251" spans="1:9" ht="17.5">
      <c r="A251" s="411" t="s">
        <v>563</v>
      </c>
      <c r="B251" s="411"/>
      <c r="C251" s="411"/>
      <c r="D251" s="411"/>
      <c r="E251" s="411"/>
      <c r="F251" s="411"/>
      <c r="G251" s="411"/>
      <c r="H251" s="411"/>
      <c r="I251" s="411"/>
    </row>
    <row r="253" spans="1:9">
      <c r="A253" s="80" t="s">
        <v>0</v>
      </c>
      <c r="B253" s="80" t="s">
        <v>330</v>
      </c>
      <c r="C253" s="80" t="s">
        <v>2</v>
      </c>
      <c r="D253" s="80" t="s">
        <v>3</v>
      </c>
      <c r="E253" s="80" t="s">
        <v>4</v>
      </c>
      <c r="F253" s="80" t="s">
        <v>5</v>
      </c>
      <c r="G253" s="80" t="s">
        <v>6</v>
      </c>
      <c r="H253" s="80" t="s">
        <v>169</v>
      </c>
      <c r="I253" s="80" t="s">
        <v>168</v>
      </c>
    </row>
    <row r="254" spans="1:9">
      <c r="A254" s="81"/>
      <c r="B254" s="81"/>
      <c r="C254" s="82"/>
      <c r="D254" s="82"/>
      <c r="E254" s="82"/>
      <c r="F254" s="82"/>
      <c r="G254" s="82"/>
      <c r="H254" s="82"/>
      <c r="I254" s="82"/>
    </row>
    <row r="255" spans="1:9">
      <c r="A255" s="9" t="s">
        <v>279</v>
      </c>
      <c r="B255" s="83" t="e">
        <f>B244</f>
        <v>#REF!</v>
      </c>
      <c r="C255" s="82"/>
      <c r="D255" s="82"/>
      <c r="E255" s="82"/>
      <c r="F255" s="82"/>
      <c r="G255" s="82"/>
      <c r="H255" s="82"/>
      <c r="I255" s="82"/>
    </row>
    <row r="256" spans="1:9">
      <c r="A256" s="9" t="str">
        <f>A219</f>
        <v>Profit after Tax &amp; Dividend</v>
      </c>
      <c r="B256" s="9"/>
      <c r="C256" s="20" t="e">
        <f>B51</f>
        <v>#REF!</v>
      </c>
      <c r="D256" s="20" t="e">
        <f t="shared" ref="D256:I256" si="46">C51</f>
        <v>#REF!</v>
      </c>
      <c r="E256" s="20" t="e">
        <f t="shared" si="46"/>
        <v>#REF!</v>
      </c>
      <c r="F256" s="20" t="e">
        <f t="shared" si="46"/>
        <v>#REF!</v>
      </c>
      <c r="G256" s="20" t="e">
        <f t="shared" si="46"/>
        <v>#REF!</v>
      </c>
      <c r="H256" s="20" t="e">
        <f t="shared" si="46"/>
        <v>#REF!</v>
      </c>
      <c r="I256" s="20" t="e">
        <f t="shared" si="46"/>
        <v>#REF!</v>
      </c>
    </row>
    <row r="257" spans="1:9">
      <c r="A257" s="9" t="str">
        <f>A221</f>
        <v>Add: Deprication</v>
      </c>
      <c r="B257" s="9"/>
      <c r="C257" s="71">
        <f>B42</f>
        <v>544435.74297999998</v>
      </c>
      <c r="D257" s="71">
        <f t="shared" ref="D257:I258" si="47">C42</f>
        <v>544435.74297999998</v>
      </c>
      <c r="E257" s="71">
        <f t="shared" si="47"/>
        <v>544435.74297999998</v>
      </c>
      <c r="F257" s="71">
        <f t="shared" si="47"/>
        <v>544435.74297999998</v>
      </c>
      <c r="G257" s="71">
        <f t="shared" si="47"/>
        <v>544435.74297999998</v>
      </c>
      <c r="H257" s="71">
        <f t="shared" si="47"/>
        <v>544435.74297999998</v>
      </c>
      <c r="I257" s="71">
        <f t="shared" si="47"/>
        <v>544435.74297999998</v>
      </c>
    </row>
    <row r="258" spans="1:9">
      <c r="A258" s="9" t="str">
        <f>A222</f>
        <v>Add. Preliminary exp Written off</v>
      </c>
      <c r="B258" s="9"/>
      <c r="C258" s="71">
        <f>B43</f>
        <v>14832</v>
      </c>
      <c r="D258" s="71">
        <f t="shared" si="47"/>
        <v>14832</v>
      </c>
      <c r="E258" s="71">
        <f t="shared" si="47"/>
        <v>14832</v>
      </c>
      <c r="F258" s="71">
        <f t="shared" si="47"/>
        <v>14832</v>
      </c>
      <c r="G258" s="71">
        <f t="shared" si="47"/>
        <v>14832</v>
      </c>
      <c r="H258" s="71">
        <f t="shared" si="47"/>
        <v>0</v>
      </c>
      <c r="I258" s="71">
        <f t="shared" si="47"/>
        <v>0</v>
      </c>
    </row>
    <row r="259" spans="1:9">
      <c r="A259" s="9" t="str">
        <f>A224</f>
        <v xml:space="preserve">Net Cash Accrual (A)      </v>
      </c>
      <c r="B259" s="9"/>
      <c r="C259" s="222" t="e">
        <f>SUM(C256:C258)</f>
        <v>#REF!</v>
      </c>
      <c r="D259" s="222" t="e">
        <f t="shared" ref="D259:I259" si="48">SUM(D256:D258)</f>
        <v>#REF!</v>
      </c>
      <c r="E259" s="222" t="e">
        <f t="shared" si="48"/>
        <v>#REF!</v>
      </c>
      <c r="F259" s="222" t="e">
        <f t="shared" si="48"/>
        <v>#REF!</v>
      </c>
      <c r="G259" s="222" t="e">
        <f t="shared" si="48"/>
        <v>#REF!</v>
      </c>
      <c r="H259" s="222" t="e">
        <f t="shared" si="48"/>
        <v>#REF!</v>
      </c>
      <c r="I259" s="222" t="e">
        <f t="shared" si="48"/>
        <v>#REF!</v>
      </c>
    </row>
    <row r="260" spans="1:9">
      <c r="A260" s="9" t="s">
        <v>280</v>
      </c>
      <c r="B260" s="84"/>
      <c r="C260" s="56" t="e">
        <f>C259-B255</f>
        <v>#REF!</v>
      </c>
      <c r="D260" s="56" t="e">
        <f>C260+D259</f>
        <v>#REF!</v>
      </c>
      <c r="E260" s="56" t="e">
        <f>D260+E259</f>
        <v>#REF!</v>
      </c>
      <c r="F260" s="56" t="e">
        <f>E260+F259</f>
        <v>#REF!</v>
      </c>
      <c r="G260" s="56" t="e">
        <f>F260+G259</f>
        <v>#REF!</v>
      </c>
      <c r="H260" s="56" t="e">
        <f t="shared" ref="H260:I260" si="49">G260+H259</f>
        <v>#REF!</v>
      </c>
      <c r="I260" s="56" t="e">
        <f t="shared" si="49"/>
        <v>#REF!</v>
      </c>
    </row>
    <row r="262" spans="1:9">
      <c r="A262" s="5" t="s">
        <v>281</v>
      </c>
      <c r="C262" s="50" t="e">
        <f>4+(-F260/G259)</f>
        <v>#REF!</v>
      </c>
    </row>
    <row r="264" spans="1:9">
      <c r="A264" s="458" t="s">
        <v>419</v>
      </c>
      <c r="B264" s="458"/>
      <c r="C264" s="458"/>
      <c r="D264" s="458"/>
      <c r="E264" s="458"/>
      <c r="F264" s="458"/>
      <c r="G264" s="458"/>
      <c r="H264" s="458"/>
      <c r="I264" s="458"/>
    </row>
    <row r="266" spans="1:9" ht="17.5">
      <c r="A266" s="411" t="s">
        <v>564</v>
      </c>
      <c r="B266" s="411"/>
      <c r="C266" s="411"/>
      <c r="D266" s="411"/>
      <c r="E266" s="411"/>
      <c r="F266" s="411"/>
      <c r="G266" s="411"/>
      <c r="H266" s="411"/>
    </row>
    <row r="268" spans="1:9" ht="15.5">
      <c r="A268" s="57" t="s">
        <v>0</v>
      </c>
      <c r="B268" s="57" t="s">
        <v>2</v>
      </c>
      <c r="C268" s="57" t="s">
        <v>3</v>
      </c>
      <c r="D268" s="57" t="s">
        <v>4</v>
      </c>
      <c r="E268" s="57" t="s">
        <v>5</v>
      </c>
      <c r="F268" s="57" t="s">
        <v>6</v>
      </c>
      <c r="G268" s="57" t="s">
        <v>169</v>
      </c>
      <c r="H268" s="57" t="s">
        <v>168</v>
      </c>
    </row>
    <row r="269" spans="1:9" ht="15.5">
      <c r="A269" s="54"/>
      <c r="B269" s="55"/>
      <c r="C269" s="55"/>
      <c r="D269" s="55"/>
      <c r="E269" s="55"/>
      <c r="F269" s="55"/>
      <c r="G269" s="55"/>
      <c r="H269" s="55"/>
    </row>
    <row r="270" spans="1:9">
      <c r="A270" s="73" t="s">
        <v>333</v>
      </c>
      <c r="B270" s="74">
        <f>B40</f>
        <v>3267727.8399999887</v>
      </c>
      <c r="C270" s="74">
        <f t="shared" ref="C270:H270" si="50">C40</f>
        <v>3853494.4200000092</v>
      </c>
      <c r="D270" s="74">
        <f t="shared" si="50"/>
        <v>4428419.8895999789</v>
      </c>
      <c r="E270" s="74">
        <f t="shared" si="50"/>
        <v>5051204.1701099873</v>
      </c>
      <c r="F270" s="74">
        <f t="shared" si="50"/>
        <v>5725195.8289470077</v>
      </c>
      <c r="G270" s="74">
        <f t="shared" si="50"/>
        <v>6453958.6432424933</v>
      </c>
      <c r="H270" s="74">
        <f t="shared" si="50"/>
        <v>7241284.7493949831</v>
      </c>
    </row>
    <row r="271" spans="1:9">
      <c r="A271" s="73" t="s">
        <v>343</v>
      </c>
      <c r="B271" s="74">
        <f>B42</f>
        <v>544435.74297999998</v>
      </c>
      <c r="C271" s="74">
        <f t="shared" ref="C271:H272" si="51">C42</f>
        <v>544435.74297999998</v>
      </c>
      <c r="D271" s="74">
        <f t="shared" si="51"/>
        <v>544435.74297999998</v>
      </c>
      <c r="E271" s="74">
        <f t="shared" si="51"/>
        <v>544435.74297999998</v>
      </c>
      <c r="F271" s="74">
        <f t="shared" si="51"/>
        <v>544435.74297999998</v>
      </c>
      <c r="G271" s="74">
        <f t="shared" si="51"/>
        <v>544435.74297999998</v>
      </c>
      <c r="H271" s="74">
        <f t="shared" si="51"/>
        <v>544435.74297999998</v>
      </c>
    </row>
    <row r="272" spans="1:9">
      <c r="A272" s="73" t="s">
        <v>344</v>
      </c>
      <c r="B272" s="74">
        <f>B43</f>
        <v>14832</v>
      </c>
      <c r="C272" s="74">
        <f t="shared" si="51"/>
        <v>14832</v>
      </c>
      <c r="D272" s="74">
        <f t="shared" si="51"/>
        <v>14832</v>
      </c>
      <c r="E272" s="74">
        <f t="shared" si="51"/>
        <v>14832</v>
      </c>
      <c r="F272" s="74">
        <f t="shared" si="51"/>
        <v>14832</v>
      </c>
      <c r="G272" s="74">
        <f t="shared" si="51"/>
        <v>0</v>
      </c>
      <c r="H272" s="74">
        <f t="shared" si="51"/>
        <v>0</v>
      </c>
    </row>
    <row r="273" spans="1:9">
      <c r="A273" s="73" t="s">
        <v>345</v>
      </c>
      <c r="B273" s="74" t="e">
        <f>SUM(D76:D87)</f>
        <v>#REF!</v>
      </c>
      <c r="C273" s="74" t="e">
        <f>SUM(D88:D99)</f>
        <v>#REF!</v>
      </c>
      <c r="D273" s="74" t="e">
        <f>SUM(D100:D111)</f>
        <v>#REF!</v>
      </c>
      <c r="E273" s="74" t="e">
        <f>SUM(D112:D123)</f>
        <v>#REF!</v>
      </c>
      <c r="F273" s="74" t="e">
        <f>SUM(D124:D135)</f>
        <v>#REF!</v>
      </c>
      <c r="G273" s="74" t="e">
        <f>SUM(D136:D147)</f>
        <v>#REF!</v>
      </c>
      <c r="H273" s="74" t="e">
        <f>SUM(D148:D159)</f>
        <v>#REF!</v>
      </c>
    </row>
    <row r="274" spans="1:9">
      <c r="A274" s="75" t="s">
        <v>1</v>
      </c>
      <c r="B274" s="76" t="e">
        <f>SUM(B270:B273)</f>
        <v>#REF!</v>
      </c>
      <c r="C274" s="76" t="e">
        <f t="shared" ref="C274:H274" si="52">SUM(C270:C273)</f>
        <v>#REF!</v>
      </c>
      <c r="D274" s="76" t="e">
        <f t="shared" si="52"/>
        <v>#REF!</v>
      </c>
      <c r="E274" s="76" t="e">
        <f t="shared" si="52"/>
        <v>#REF!</v>
      </c>
      <c r="F274" s="76" t="e">
        <f t="shared" si="52"/>
        <v>#REF!</v>
      </c>
      <c r="G274" s="76" t="e">
        <f t="shared" si="52"/>
        <v>#REF!</v>
      </c>
      <c r="H274" s="76" t="e">
        <f t="shared" si="52"/>
        <v>#REF!</v>
      </c>
    </row>
    <row r="275" spans="1:9">
      <c r="A275" s="73"/>
      <c r="B275" s="73"/>
      <c r="C275" s="73"/>
      <c r="D275" s="73"/>
      <c r="E275" s="73"/>
      <c r="F275" s="73"/>
      <c r="G275" s="73"/>
      <c r="H275" s="73"/>
    </row>
    <row r="276" spans="1:9">
      <c r="A276" s="73" t="s">
        <v>282</v>
      </c>
      <c r="B276" s="77" t="e">
        <f>SUM(F76:F87)</f>
        <v>#REF!</v>
      </c>
      <c r="C276" s="77" t="e">
        <f>SUM(F88:F99)</f>
        <v>#REF!</v>
      </c>
      <c r="D276" s="77" t="e">
        <f>SUM(F100:F111)</f>
        <v>#REF!</v>
      </c>
      <c r="E276" s="77" t="e">
        <f>SUM(F112:F123)</f>
        <v>#REF!</v>
      </c>
      <c r="F276" s="77" t="e">
        <f>SUM(F124:F135)</f>
        <v>#REF!</v>
      </c>
      <c r="G276" s="77" t="e">
        <f>SUM(F136:F147)</f>
        <v>#REF!</v>
      </c>
      <c r="H276" s="77" t="e">
        <f>SUM(F148:F159)</f>
        <v>#REF!</v>
      </c>
    </row>
    <row r="277" spans="1:9">
      <c r="A277" s="73"/>
      <c r="B277" s="73"/>
      <c r="C277" s="73"/>
      <c r="D277" s="73"/>
      <c r="E277" s="73"/>
      <c r="F277" s="73"/>
      <c r="G277" s="73"/>
      <c r="H277" s="73"/>
    </row>
    <row r="278" spans="1:9">
      <c r="A278" s="75" t="s">
        <v>331</v>
      </c>
      <c r="B278" s="78" t="e">
        <f>B274/B276</f>
        <v>#REF!</v>
      </c>
      <c r="C278" s="78" t="e">
        <f t="shared" ref="C278:H278" si="53">C274/C276</f>
        <v>#REF!</v>
      </c>
      <c r="D278" s="78" t="e">
        <f t="shared" si="53"/>
        <v>#REF!</v>
      </c>
      <c r="E278" s="78" t="e">
        <f t="shared" si="53"/>
        <v>#REF!</v>
      </c>
      <c r="F278" s="78" t="e">
        <f t="shared" si="53"/>
        <v>#REF!</v>
      </c>
      <c r="G278" s="78" t="e">
        <f t="shared" si="53"/>
        <v>#REF!</v>
      </c>
      <c r="H278" s="78" t="e">
        <f t="shared" si="53"/>
        <v>#REF!</v>
      </c>
    </row>
    <row r="279" spans="1:9">
      <c r="A279" s="72"/>
      <c r="B279" s="72"/>
      <c r="C279" s="72"/>
      <c r="D279" s="72"/>
      <c r="E279" s="72"/>
      <c r="F279" s="72"/>
      <c r="G279" s="72"/>
      <c r="H279" s="72"/>
    </row>
    <row r="280" spans="1:9">
      <c r="A280" s="92" t="s">
        <v>332</v>
      </c>
      <c r="B280" s="324" t="e">
        <f>AVERAGE(B278:H278)</f>
        <v>#REF!</v>
      </c>
      <c r="C280" s="72"/>
      <c r="D280" s="72"/>
      <c r="E280" s="72"/>
      <c r="F280" s="72"/>
      <c r="G280" s="72"/>
      <c r="H280" s="72"/>
    </row>
    <row r="282" spans="1:9">
      <c r="A282" s="442" t="s">
        <v>420</v>
      </c>
      <c r="B282" s="442"/>
      <c r="C282" s="442"/>
      <c r="D282" s="442"/>
      <c r="E282" s="442"/>
      <c r="F282" s="442"/>
      <c r="G282" s="442"/>
      <c r="H282" s="442"/>
      <c r="I282" s="442"/>
    </row>
  </sheetData>
  <mergeCells count="21">
    <mergeCell ref="A236:I236"/>
    <mergeCell ref="A2:H2"/>
    <mergeCell ref="A54:H54"/>
    <mergeCell ref="A66:H66"/>
    <mergeCell ref="A68:G68"/>
    <mergeCell ref="A166:I166"/>
    <mergeCell ref="C181:I181"/>
    <mergeCell ref="C183:I183"/>
    <mergeCell ref="A185:I185"/>
    <mergeCell ref="A187:H187"/>
    <mergeCell ref="A212:I212"/>
    <mergeCell ref="A215:H215"/>
    <mergeCell ref="A264:I264"/>
    <mergeCell ref="A266:H266"/>
    <mergeCell ref="A282:I282"/>
    <mergeCell ref="A237:H237"/>
    <mergeCell ref="B243:H243"/>
    <mergeCell ref="B244:H244"/>
    <mergeCell ref="B246:H246"/>
    <mergeCell ref="A249:H249"/>
    <mergeCell ref="A251:I251"/>
  </mergeCells>
  <hyperlinks>
    <hyperlink ref="A185" r:id="rId1" display="https://www.investopedia.com/terms/d/discountrate.asp" xr:uid="{05D78EB3-4B6E-4C9A-8033-9B2A6AFD6DE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R28"/>
  <sheetViews>
    <sheetView workbookViewId="0">
      <selection activeCell="G13" sqref="G13"/>
    </sheetView>
  </sheetViews>
  <sheetFormatPr defaultRowHeight="14.5"/>
  <cols>
    <col min="2" max="2" width="33.08984375" bestFit="1" customWidth="1"/>
    <col min="3" max="3" width="12.26953125" bestFit="1" customWidth="1"/>
    <col min="4" max="4" width="13.7265625" bestFit="1" customWidth="1"/>
    <col min="5" max="9" width="11.7265625" bestFit="1" customWidth="1"/>
    <col min="11" max="11" width="30.81640625" hidden="1" customWidth="1"/>
    <col min="12" max="18" width="11.54296875" hidden="1" customWidth="1"/>
  </cols>
  <sheetData>
    <row r="2" spans="2:18">
      <c r="B2" t="s">
        <v>161</v>
      </c>
      <c r="C2">
        <v>1</v>
      </c>
      <c r="D2" t="s">
        <v>755</v>
      </c>
      <c r="K2" t="s">
        <v>161</v>
      </c>
      <c r="L2">
        <v>0</v>
      </c>
      <c r="M2" t="s">
        <v>755</v>
      </c>
    </row>
    <row r="3" spans="2:18">
      <c r="B3" t="s">
        <v>709</v>
      </c>
      <c r="C3">
        <v>8</v>
      </c>
      <c r="K3" t="s">
        <v>709</v>
      </c>
      <c r="L3">
        <v>8</v>
      </c>
    </row>
    <row r="4" spans="2:18">
      <c r="B4" t="s">
        <v>710</v>
      </c>
      <c r="C4">
        <v>240</v>
      </c>
      <c r="K4" t="s">
        <v>710</v>
      </c>
      <c r="L4">
        <v>240</v>
      </c>
    </row>
    <row r="7" spans="2:18">
      <c r="B7" s="325" t="s">
        <v>0</v>
      </c>
      <c r="C7" s="326" t="s">
        <v>2</v>
      </c>
      <c r="D7" s="326" t="s">
        <v>3</v>
      </c>
      <c r="E7" s="326" t="s">
        <v>4</v>
      </c>
      <c r="F7" s="326" t="s">
        <v>5</v>
      </c>
      <c r="G7" s="326" t="s">
        <v>6</v>
      </c>
      <c r="H7" s="326" t="s">
        <v>6</v>
      </c>
      <c r="I7" s="326" t="s">
        <v>6</v>
      </c>
      <c r="K7" s="327" t="s">
        <v>0</v>
      </c>
      <c r="L7" s="328" t="s">
        <v>2</v>
      </c>
      <c r="M7" s="328" t="s">
        <v>3</v>
      </c>
      <c r="N7" s="328" t="s">
        <v>4</v>
      </c>
      <c r="O7" s="328" t="s">
        <v>5</v>
      </c>
      <c r="P7" s="328" t="s">
        <v>6</v>
      </c>
      <c r="Q7" s="328" t="s">
        <v>6</v>
      </c>
      <c r="R7" s="328" t="s">
        <v>6</v>
      </c>
    </row>
    <row r="8" spans="2:18">
      <c r="B8" s="2" t="s">
        <v>711</v>
      </c>
      <c r="C8" s="329">
        <v>0.6</v>
      </c>
      <c r="D8" s="329">
        <f>C8+0.05</f>
        <v>0.65</v>
      </c>
      <c r="E8" s="329">
        <f t="shared" ref="E8:I8" si="0">D8+0.05</f>
        <v>0.70000000000000007</v>
      </c>
      <c r="F8" s="329">
        <f t="shared" si="0"/>
        <v>0.75000000000000011</v>
      </c>
      <c r="G8" s="329">
        <f t="shared" si="0"/>
        <v>0.80000000000000016</v>
      </c>
      <c r="H8" s="329">
        <f t="shared" si="0"/>
        <v>0.8500000000000002</v>
      </c>
      <c r="I8" s="329">
        <f t="shared" si="0"/>
        <v>0.90000000000000024</v>
      </c>
      <c r="K8" s="9" t="s">
        <v>711</v>
      </c>
      <c r="L8" s="261">
        <v>0.5</v>
      </c>
      <c r="M8" s="261">
        <v>0.55000000000000004</v>
      </c>
      <c r="N8" s="261">
        <v>0.60000000000000009</v>
      </c>
      <c r="O8" s="261">
        <v>0.65000000000000013</v>
      </c>
      <c r="P8" s="261">
        <v>0.70000000000000018</v>
      </c>
      <c r="Q8" s="261">
        <v>0.75000000000000022</v>
      </c>
      <c r="R8" s="261">
        <v>0.80000000000000027</v>
      </c>
    </row>
    <row r="9" spans="2:18">
      <c r="B9" s="9" t="s">
        <v>712</v>
      </c>
      <c r="C9" s="9">
        <f>C8*$C$4</f>
        <v>144</v>
      </c>
      <c r="D9" s="9">
        <f t="shared" ref="D9:G9" si="1">D8*$C$4</f>
        <v>156</v>
      </c>
      <c r="E9" s="9">
        <f t="shared" si="1"/>
        <v>168.00000000000003</v>
      </c>
      <c r="F9" s="9">
        <f t="shared" si="1"/>
        <v>180.00000000000003</v>
      </c>
      <c r="G9" s="9">
        <f t="shared" si="1"/>
        <v>192.00000000000003</v>
      </c>
      <c r="H9" s="9">
        <f t="shared" ref="H9:I9" si="2">H8*$C$4</f>
        <v>204.00000000000006</v>
      </c>
      <c r="I9" s="9">
        <f t="shared" si="2"/>
        <v>216.00000000000006</v>
      </c>
      <c r="K9" s="9" t="s">
        <v>712</v>
      </c>
      <c r="L9" s="9">
        <f>$L$4*L8</f>
        <v>120</v>
      </c>
      <c r="M9" s="9">
        <f t="shared" ref="M9:R9" si="3">$L$4*M8</f>
        <v>132</v>
      </c>
      <c r="N9" s="9">
        <f t="shared" si="3"/>
        <v>144.00000000000003</v>
      </c>
      <c r="O9" s="9">
        <f t="shared" si="3"/>
        <v>156.00000000000003</v>
      </c>
      <c r="P9" s="9">
        <f t="shared" si="3"/>
        <v>168.00000000000006</v>
      </c>
      <c r="Q9" s="9">
        <f t="shared" si="3"/>
        <v>180.00000000000006</v>
      </c>
      <c r="R9" s="9">
        <f t="shared" si="3"/>
        <v>192.00000000000006</v>
      </c>
    </row>
    <row r="10" spans="2:18">
      <c r="B10" s="2" t="s">
        <v>713</v>
      </c>
      <c r="C10" s="365">
        <f>$C$2*C9*$C$3</f>
        <v>1152</v>
      </c>
      <c r="D10" s="365">
        <f t="shared" ref="D10:I10" si="4">$C$2*D9*$C$3</f>
        <v>1248</v>
      </c>
      <c r="E10" s="365">
        <f t="shared" si="4"/>
        <v>1344.0000000000002</v>
      </c>
      <c r="F10" s="365">
        <f t="shared" si="4"/>
        <v>1440.0000000000002</v>
      </c>
      <c r="G10" s="365">
        <f t="shared" si="4"/>
        <v>1536.0000000000002</v>
      </c>
      <c r="H10" s="365">
        <f t="shared" si="4"/>
        <v>1632.0000000000005</v>
      </c>
      <c r="I10" s="365">
        <f t="shared" si="4"/>
        <v>1728.0000000000005</v>
      </c>
      <c r="K10" s="2" t="s">
        <v>766</v>
      </c>
      <c r="L10" s="365">
        <f>$L$2*$L$3*L9</f>
        <v>0</v>
      </c>
      <c r="M10" s="365">
        <f t="shared" ref="M10:R10" si="5">$L$2*$L$3*M9</f>
        <v>0</v>
      </c>
      <c r="N10" s="365">
        <f t="shared" si="5"/>
        <v>0</v>
      </c>
      <c r="O10" s="365">
        <f t="shared" si="5"/>
        <v>0</v>
      </c>
      <c r="P10" s="365">
        <f t="shared" si="5"/>
        <v>0</v>
      </c>
      <c r="Q10" s="365">
        <f t="shared" si="5"/>
        <v>0</v>
      </c>
      <c r="R10" s="365">
        <f t="shared" si="5"/>
        <v>0</v>
      </c>
    </row>
    <row r="11" spans="2:18">
      <c r="B11" s="2" t="s">
        <v>774</v>
      </c>
      <c r="C11" s="385"/>
      <c r="D11" s="385"/>
      <c r="E11" s="385"/>
      <c r="F11" s="385"/>
      <c r="G11" s="385"/>
      <c r="H11" s="385"/>
      <c r="I11" s="385"/>
      <c r="K11" s="9" t="s">
        <v>756</v>
      </c>
      <c r="L11" s="261">
        <v>0.02</v>
      </c>
      <c r="M11" s="261">
        <f>L11</f>
        <v>0.02</v>
      </c>
      <c r="N11" s="261">
        <f t="shared" ref="N11:R11" si="6">M11</f>
        <v>0.02</v>
      </c>
      <c r="O11" s="261">
        <f t="shared" si="6"/>
        <v>0.02</v>
      </c>
      <c r="P11" s="261">
        <f t="shared" si="6"/>
        <v>0.02</v>
      </c>
      <c r="Q11" s="261">
        <f t="shared" si="6"/>
        <v>0.02</v>
      </c>
      <c r="R11" s="261">
        <f t="shared" si="6"/>
        <v>0.02</v>
      </c>
    </row>
    <row r="12" spans="2:18">
      <c r="B12" s="2" t="s">
        <v>448</v>
      </c>
      <c r="C12" s="365">
        <f>C10-C11</f>
        <v>1152</v>
      </c>
      <c r="D12" s="365">
        <f t="shared" ref="D12:I12" si="7">D10-D11</f>
        <v>1248</v>
      </c>
      <c r="E12" s="365">
        <f t="shared" si="7"/>
        <v>1344.0000000000002</v>
      </c>
      <c r="F12" s="365">
        <f t="shared" si="7"/>
        <v>1440.0000000000002</v>
      </c>
      <c r="G12" s="365">
        <f t="shared" si="7"/>
        <v>1536.0000000000002</v>
      </c>
      <c r="H12" s="365">
        <f t="shared" si="7"/>
        <v>1632.0000000000005</v>
      </c>
      <c r="I12" s="365">
        <f t="shared" si="7"/>
        <v>1728.0000000000005</v>
      </c>
      <c r="K12" s="2" t="s">
        <v>767</v>
      </c>
      <c r="L12" s="365">
        <f t="shared" ref="L12:R12" si="8">L10-(L10*L11)</f>
        <v>0</v>
      </c>
      <c r="M12" s="365">
        <f t="shared" si="8"/>
        <v>0</v>
      </c>
      <c r="N12" s="365">
        <f t="shared" si="8"/>
        <v>0</v>
      </c>
      <c r="O12" s="365">
        <f t="shared" si="8"/>
        <v>0</v>
      </c>
      <c r="P12" s="365">
        <f t="shared" si="8"/>
        <v>0</v>
      </c>
      <c r="Q12" s="365">
        <f t="shared" si="8"/>
        <v>0</v>
      </c>
      <c r="R12" s="365">
        <f t="shared" si="8"/>
        <v>0</v>
      </c>
    </row>
    <row r="13" spans="2:18">
      <c r="B13" s="9" t="s">
        <v>167</v>
      </c>
      <c r="C13" s="366">
        <f>C$12*40%</f>
        <v>460.8</v>
      </c>
      <c r="D13" s="366">
        <f t="shared" ref="D13:I13" si="9">D$12*40%</f>
        <v>499.20000000000005</v>
      </c>
      <c r="E13" s="366">
        <f t="shared" si="9"/>
        <v>537.60000000000014</v>
      </c>
      <c r="F13" s="366">
        <f t="shared" si="9"/>
        <v>576.00000000000011</v>
      </c>
      <c r="G13" s="366">
        <f t="shared" si="9"/>
        <v>614.40000000000009</v>
      </c>
      <c r="H13" s="366">
        <f t="shared" si="9"/>
        <v>652.80000000000018</v>
      </c>
      <c r="I13" s="366">
        <f t="shared" si="9"/>
        <v>691.20000000000027</v>
      </c>
      <c r="K13" s="9" t="s">
        <v>757</v>
      </c>
      <c r="L13" s="20">
        <f>L$12*15%</f>
        <v>0</v>
      </c>
      <c r="M13" s="20">
        <f t="shared" ref="M13:R13" si="10">M$12*15%</f>
        <v>0</v>
      </c>
      <c r="N13" s="20">
        <f t="shared" si="10"/>
        <v>0</v>
      </c>
      <c r="O13" s="20">
        <f t="shared" si="10"/>
        <v>0</v>
      </c>
      <c r="P13" s="20">
        <f t="shared" si="10"/>
        <v>0</v>
      </c>
      <c r="Q13" s="20">
        <f t="shared" si="10"/>
        <v>0</v>
      </c>
      <c r="R13" s="20">
        <f t="shared" si="10"/>
        <v>0</v>
      </c>
    </row>
    <row r="14" spans="2:18">
      <c r="B14" s="9" t="s">
        <v>164</v>
      </c>
      <c r="C14" s="366">
        <f>C$12*35%</f>
        <v>403.2</v>
      </c>
      <c r="D14" s="366">
        <f t="shared" ref="D14:I14" si="11">D$12*35%</f>
        <v>436.79999999999995</v>
      </c>
      <c r="E14" s="366">
        <f t="shared" si="11"/>
        <v>470.40000000000003</v>
      </c>
      <c r="F14" s="366">
        <f t="shared" si="11"/>
        <v>504.00000000000006</v>
      </c>
      <c r="G14" s="366">
        <f t="shared" si="11"/>
        <v>537.6</v>
      </c>
      <c r="H14" s="366">
        <f t="shared" si="11"/>
        <v>571.20000000000016</v>
      </c>
      <c r="I14" s="366">
        <f t="shared" si="11"/>
        <v>604.80000000000007</v>
      </c>
      <c r="K14" s="9"/>
      <c r="L14" s="20"/>
      <c r="M14" s="20"/>
      <c r="N14" s="20"/>
      <c r="O14" s="20"/>
      <c r="P14" s="20"/>
      <c r="Q14" s="20"/>
      <c r="R14" s="20"/>
    </row>
    <row r="15" spans="2:18">
      <c r="B15" s="9" t="s">
        <v>163</v>
      </c>
      <c r="C15" s="366">
        <f>C$12*20%</f>
        <v>230.4</v>
      </c>
      <c r="D15" s="366">
        <f t="shared" ref="D15:I15" si="12">D$12*20%</f>
        <v>249.60000000000002</v>
      </c>
      <c r="E15" s="366">
        <f t="shared" si="12"/>
        <v>268.80000000000007</v>
      </c>
      <c r="F15" s="366">
        <f t="shared" si="12"/>
        <v>288.00000000000006</v>
      </c>
      <c r="G15" s="366">
        <f t="shared" si="12"/>
        <v>307.20000000000005</v>
      </c>
      <c r="H15" s="366">
        <f t="shared" si="12"/>
        <v>326.40000000000009</v>
      </c>
      <c r="I15" s="366">
        <f t="shared" si="12"/>
        <v>345.60000000000014</v>
      </c>
      <c r="K15" s="9" t="s">
        <v>758</v>
      </c>
      <c r="L15" s="20">
        <f>L$12*55%</f>
        <v>0</v>
      </c>
      <c r="M15" s="20">
        <f t="shared" ref="M15:R15" si="13">M$12*55%</f>
        <v>0</v>
      </c>
      <c r="N15" s="20">
        <f t="shared" si="13"/>
        <v>0</v>
      </c>
      <c r="O15" s="20">
        <f t="shared" si="13"/>
        <v>0</v>
      </c>
      <c r="P15" s="20">
        <f t="shared" si="13"/>
        <v>0</v>
      </c>
      <c r="Q15" s="20">
        <f t="shared" si="13"/>
        <v>0</v>
      </c>
      <c r="R15" s="20">
        <f t="shared" si="13"/>
        <v>0</v>
      </c>
    </row>
    <row r="16" spans="2:18">
      <c r="B16" s="9" t="s">
        <v>391</v>
      </c>
      <c r="C16" s="366">
        <f>C$12*5%</f>
        <v>57.6</v>
      </c>
      <c r="D16" s="366">
        <f t="shared" ref="D16:I16" si="14">D$12*5%</f>
        <v>62.400000000000006</v>
      </c>
      <c r="E16" s="366">
        <f t="shared" si="14"/>
        <v>67.200000000000017</v>
      </c>
      <c r="F16" s="366">
        <f t="shared" si="14"/>
        <v>72.000000000000014</v>
      </c>
      <c r="G16" s="366">
        <f t="shared" si="14"/>
        <v>76.800000000000011</v>
      </c>
      <c r="H16" s="366">
        <f t="shared" si="14"/>
        <v>81.600000000000023</v>
      </c>
      <c r="I16" s="366">
        <f t="shared" si="14"/>
        <v>86.400000000000034</v>
      </c>
      <c r="K16" s="9" t="s">
        <v>759</v>
      </c>
      <c r="L16" s="20">
        <f>L$12*5%</f>
        <v>0</v>
      </c>
      <c r="M16" s="20">
        <f t="shared" ref="M16:R16" si="15">M$12*5%</f>
        <v>0</v>
      </c>
      <c r="N16" s="20">
        <f t="shared" si="15"/>
        <v>0</v>
      </c>
      <c r="O16" s="20">
        <f t="shared" si="15"/>
        <v>0</v>
      </c>
      <c r="P16" s="20">
        <f t="shared" si="15"/>
        <v>0</v>
      </c>
      <c r="Q16" s="20">
        <f t="shared" si="15"/>
        <v>0</v>
      </c>
      <c r="R16" s="20">
        <f t="shared" si="15"/>
        <v>0</v>
      </c>
    </row>
    <row r="17" spans="2:18">
      <c r="B17" s="2"/>
      <c r="C17" s="2"/>
      <c r="D17" s="2"/>
      <c r="E17" s="2"/>
      <c r="F17" s="2"/>
      <c r="G17" s="2"/>
      <c r="H17" s="2"/>
      <c r="I17" s="2"/>
      <c r="K17" s="9"/>
      <c r="L17" s="20"/>
      <c r="M17" s="20"/>
      <c r="N17" s="20"/>
      <c r="O17" s="20"/>
      <c r="P17" s="20"/>
      <c r="Q17" s="20"/>
      <c r="R17" s="20"/>
    </row>
    <row r="18" spans="2:18">
      <c r="B18" s="2" t="s">
        <v>714</v>
      </c>
      <c r="C18" s="330"/>
      <c r="D18" s="330"/>
      <c r="E18" s="330"/>
      <c r="F18" s="330"/>
      <c r="G18" s="330"/>
      <c r="H18" s="330"/>
      <c r="I18" s="330"/>
      <c r="K18" s="2" t="s">
        <v>764</v>
      </c>
      <c r="L18" s="20"/>
      <c r="M18" s="20"/>
      <c r="N18" s="20"/>
      <c r="O18" s="20"/>
      <c r="P18" s="20"/>
      <c r="Q18" s="20"/>
      <c r="R18" s="20"/>
    </row>
    <row r="19" spans="2:18">
      <c r="B19" s="9" t="str">
        <f>B13</f>
        <v>Soybean</v>
      </c>
      <c r="C19" s="349">
        <f>C13*98%</f>
        <v>451.584</v>
      </c>
      <c r="D19" s="349">
        <f t="shared" ref="D19:I22" si="16">D13*98%</f>
        <v>489.21600000000001</v>
      </c>
      <c r="E19" s="349">
        <f t="shared" si="16"/>
        <v>526.84800000000007</v>
      </c>
      <c r="F19" s="349">
        <f t="shared" si="16"/>
        <v>564.48000000000013</v>
      </c>
      <c r="G19" s="349">
        <f t="shared" si="16"/>
        <v>602.11200000000008</v>
      </c>
      <c r="H19" s="349">
        <f t="shared" si="16"/>
        <v>639.74400000000014</v>
      </c>
      <c r="I19" s="349">
        <f t="shared" si="16"/>
        <v>677.3760000000002</v>
      </c>
      <c r="K19" s="9" t="str">
        <f>K13</f>
        <v>Ground Nut Seed</v>
      </c>
      <c r="L19" s="20">
        <f t="shared" ref="L19:R19" si="17">(L13*30%)/25</f>
        <v>0</v>
      </c>
      <c r="M19" s="20">
        <f t="shared" si="17"/>
        <v>0</v>
      </c>
      <c r="N19" s="20">
        <f t="shared" si="17"/>
        <v>0</v>
      </c>
      <c r="O19" s="20">
        <f t="shared" si="17"/>
        <v>0</v>
      </c>
      <c r="P19" s="20">
        <f t="shared" si="17"/>
        <v>0</v>
      </c>
      <c r="Q19" s="20">
        <f t="shared" si="17"/>
        <v>0</v>
      </c>
      <c r="R19" s="20">
        <f t="shared" si="17"/>
        <v>0</v>
      </c>
    </row>
    <row r="20" spans="2:18">
      <c r="B20" s="9" t="str">
        <f>B14</f>
        <v>Red Gram</v>
      </c>
      <c r="C20" s="349">
        <f>C14*98%</f>
        <v>395.13599999999997</v>
      </c>
      <c r="D20" s="349">
        <f t="shared" si="16"/>
        <v>428.06399999999996</v>
      </c>
      <c r="E20" s="349">
        <f t="shared" si="16"/>
        <v>460.99200000000002</v>
      </c>
      <c r="F20" s="349">
        <f t="shared" si="16"/>
        <v>493.92000000000007</v>
      </c>
      <c r="G20" s="349">
        <f t="shared" si="16"/>
        <v>526.84799999999996</v>
      </c>
      <c r="H20" s="349">
        <f t="shared" si="16"/>
        <v>559.77600000000018</v>
      </c>
      <c r="I20" s="349">
        <f t="shared" si="16"/>
        <v>592.70400000000006</v>
      </c>
      <c r="K20" s="9"/>
      <c r="L20" s="20"/>
      <c r="M20" s="20"/>
      <c r="N20" s="20"/>
      <c r="O20" s="20"/>
      <c r="P20" s="20"/>
      <c r="Q20" s="20"/>
      <c r="R20" s="20"/>
    </row>
    <row r="21" spans="2:18">
      <c r="B21" s="9" t="str">
        <f>B15</f>
        <v>Bengal Gram</v>
      </c>
      <c r="C21" s="349">
        <f>C15*98%</f>
        <v>225.792</v>
      </c>
      <c r="D21" s="349">
        <f t="shared" si="16"/>
        <v>244.608</v>
      </c>
      <c r="E21" s="349">
        <f t="shared" si="16"/>
        <v>263.42400000000004</v>
      </c>
      <c r="F21" s="349">
        <f t="shared" si="16"/>
        <v>282.24000000000007</v>
      </c>
      <c r="G21" s="349">
        <f t="shared" si="16"/>
        <v>301.05600000000004</v>
      </c>
      <c r="H21" s="349">
        <f t="shared" si="16"/>
        <v>319.87200000000007</v>
      </c>
      <c r="I21" s="349">
        <f t="shared" si="16"/>
        <v>338.6880000000001</v>
      </c>
      <c r="K21" s="9" t="str">
        <f>K15</f>
        <v>Sunflower Seed</v>
      </c>
      <c r="L21" s="20">
        <f t="shared" ref="L21:R22" si="18">(L15*30%)/25</f>
        <v>0</v>
      </c>
      <c r="M21" s="20">
        <f t="shared" si="18"/>
        <v>0</v>
      </c>
      <c r="N21" s="20">
        <f t="shared" si="18"/>
        <v>0</v>
      </c>
      <c r="O21" s="20">
        <f t="shared" si="18"/>
        <v>0</v>
      </c>
      <c r="P21" s="20">
        <f t="shared" si="18"/>
        <v>0</v>
      </c>
      <c r="Q21" s="20">
        <f t="shared" si="18"/>
        <v>0</v>
      </c>
      <c r="R21" s="20">
        <f t="shared" si="18"/>
        <v>0</v>
      </c>
    </row>
    <row r="22" spans="2:18">
      <c r="B22" s="9" t="str">
        <f>B16</f>
        <v>Wheat</v>
      </c>
      <c r="C22" s="349">
        <f>C16*98%</f>
        <v>56.448</v>
      </c>
      <c r="D22" s="349">
        <f t="shared" si="16"/>
        <v>61.152000000000001</v>
      </c>
      <c r="E22" s="349">
        <f t="shared" si="16"/>
        <v>65.856000000000009</v>
      </c>
      <c r="F22" s="349">
        <f t="shared" si="16"/>
        <v>70.560000000000016</v>
      </c>
      <c r="G22" s="349">
        <f t="shared" si="16"/>
        <v>75.26400000000001</v>
      </c>
      <c r="H22" s="349">
        <f t="shared" si="16"/>
        <v>79.968000000000018</v>
      </c>
      <c r="I22" s="349">
        <f t="shared" si="16"/>
        <v>84.672000000000025</v>
      </c>
      <c r="K22" s="9" t="str">
        <f>K16</f>
        <v>Safflower Seed</v>
      </c>
      <c r="L22" s="20">
        <f t="shared" si="18"/>
        <v>0</v>
      </c>
      <c r="M22" s="20">
        <f t="shared" si="18"/>
        <v>0</v>
      </c>
      <c r="N22" s="20">
        <f t="shared" si="18"/>
        <v>0</v>
      </c>
      <c r="O22" s="20">
        <f t="shared" si="18"/>
        <v>0</v>
      </c>
      <c r="P22" s="20">
        <f t="shared" si="18"/>
        <v>0</v>
      </c>
      <c r="Q22" s="20">
        <f t="shared" si="18"/>
        <v>0</v>
      </c>
      <c r="R22" s="20">
        <f t="shared" si="18"/>
        <v>0</v>
      </c>
    </row>
    <row r="23" spans="2:18">
      <c r="K23" s="9"/>
      <c r="L23" s="20"/>
      <c r="M23" s="20"/>
      <c r="N23" s="20"/>
      <c r="O23" s="20"/>
      <c r="P23" s="20"/>
      <c r="Q23" s="20"/>
      <c r="R23" s="20"/>
    </row>
    <row r="24" spans="2:18">
      <c r="C24" s="18"/>
      <c r="D24" s="22"/>
      <c r="E24" s="22"/>
      <c r="K24" s="9" t="s">
        <v>765</v>
      </c>
      <c r="L24" s="20"/>
      <c r="M24" s="20"/>
      <c r="N24" s="20"/>
      <c r="O24" s="20"/>
      <c r="P24" s="20"/>
      <c r="Q24" s="20"/>
      <c r="R24" s="20"/>
    </row>
    <row r="25" spans="2:18">
      <c r="C25" s="18"/>
      <c r="D25" s="22"/>
      <c r="E25" s="22"/>
      <c r="K25" s="9" t="str">
        <f>K19</f>
        <v>Ground Nut Seed</v>
      </c>
      <c r="L25" s="20">
        <f t="shared" ref="L25:R25" si="19">(L13*70%)/50</f>
        <v>0</v>
      </c>
      <c r="M25" s="20">
        <f t="shared" si="19"/>
        <v>0</v>
      </c>
      <c r="N25" s="20">
        <f t="shared" si="19"/>
        <v>0</v>
      </c>
      <c r="O25" s="20">
        <f t="shared" si="19"/>
        <v>0</v>
      </c>
      <c r="P25" s="20">
        <f t="shared" si="19"/>
        <v>0</v>
      </c>
      <c r="Q25" s="20">
        <f t="shared" si="19"/>
        <v>0</v>
      </c>
      <c r="R25" s="20">
        <f t="shared" si="19"/>
        <v>0</v>
      </c>
    </row>
    <row r="26" spans="2:18">
      <c r="C26" s="18"/>
      <c r="D26" s="22"/>
      <c r="E26" s="22"/>
      <c r="K26" s="9" t="str">
        <f>K21</f>
        <v>Sunflower Seed</v>
      </c>
      <c r="L26" s="20">
        <f t="shared" ref="L26:R27" si="20">(L15*70%)/50</f>
        <v>0</v>
      </c>
      <c r="M26" s="20">
        <f t="shared" si="20"/>
        <v>0</v>
      </c>
      <c r="N26" s="20">
        <f t="shared" si="20"/>
        <v>0</v>
      </c>
      <c r="O26" s="20">
        <f t="shared" si="20"/>
        <v>0</v>
      </c>
      <c r="P26" s="20">
        <f t="shared" si="20"/>
        <v>0</v>
      </c>
      <c r="Q26" s="20">
        <f t="shared" si="20"/>
        <v>0</v>
      </c>
      <c r="R26" s="20">
        <f t="shared" si="20"/>
        <v>0</v>
      </c>
    </row>
    <row r="27" spans="2:18">
      <c r="C27" s="18"/>
      <c r="D27" s="22"/>
      <c r="E27" s="22"/>
      <c r="K27" s="9" t="str">
        <f>K22</f>
        <v>Safflower Seed</v>
      </c>
      <c r="L27" s="20">
        <f t="shared" si="20"/>
        <v>0</v>
      </c>
      <c r="M27" s="20">
        <f t="shared" si="20"/>
        <v>0</v>
      </c>
      <c r="N27" s="20">
        <f t="shared" si="20"/>
        <v>0</v>
      </c>
      <c r="O27" s="20">
        <f t="shared" si="20"/>
        <v>0</v>
      </c>
      <c r="P27" s="20">
        <f t="shared" si="20"/>
        <v>0</v>
      </c>
      <c r="Q27" s="20">
        <f t="shared" si="20"/>
        <v>0</v>
      </c>
      <c r="R27" s="20">
        <f t="shared" si="20"/>
        <v>0</v>
      </c>
    </row>
    <row r="28" spans="2:18">
      <c r="K28">
        <f t="shared" ref="K28" si="21">K23</f>
        <v>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4.5"/>
  <cols>
    <col min="9" max="9" width="10.26953125" bestFit="1" customWidth="1"/>
    <col min="10" max="10" width="10.6328125" bestFit="1" customWidth="1"/>
    <col min="12" max="12" width="10.90625" bestFit="1" customWidth="1"/>
  </cols>
  <sheetData>
    <row r="6" spans="8:12">
      <c r="H6" t="s">
        <v>734</v>
      </c>
      <c r="I6" t="s">
        <v>735</v>
      </c>
      <c r="J6" t="s">
        <v>736</v>
      </c>
      <c r="K6" t="s">
        <v>1</v>
      </c>
      <c r="L6" t="s">
        <v>348</v>
      </c>
    </row>
    <row r="7" spans="8:12">
      <c r="H7" t="s">
        <v>388</v>
      </c>
      <c r="I7">
        <v>500</v>
      </c>
      <c r="J7">
        <f>5</f>
        <v>5</v>
      </c>
      <c r="K7">
        <f>I7*J7</f>
        <v>2500</v>
      </c>
      <c r="L7">
        <v>30000</v>
      </c>
    </row>
    <row r="8" spans="8:12">
      <c r="H8" t="s">
        <v>390</v>
      </c>
      <c r="I8">
        <v>1500</v>
      </c>
      <c r="J8" t="s">
        <v>737</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3323-CC9C-4DA4-A799-3A5ADC3610FA}">
  <sheetPr>
    <tabColor rgb="FF7030A0"/>
  </sheetPr>
  <dimension ref="A1:F35"/>
  <sheetViews>
    <sheetView zoomScaleNormal="100" zoomScaleSheetLayoutView="85" workbookViewId="0">
      <selection sqref="A1:D1"/>
    </sheetView>
  </sheetViews>
  <sheetFormatPr defaultColWidth="9.1796875" defaultRowHeight="14.5"/>
  <cols>
    <col min="1" max="1" width="55.7265625" style="333" bestFit="1" customWidth="1"/>
    <col min="2" max="2" width="13.7265625" style="333" bestFit="1" customWidth="1"/>
    <col min="3" max="3" width="11.08984375" style="333" bestFit="1" customWidth="1"/>
    <col min="4" max="4" width="11.1796875" style="333" bestFit="1" customWidth="1"/>
    <col min="5" max="5" width="10.453125" style="333" hidden="1" customWidth="1"/>
    <col min="6" max="6" width="10.26953125" style="333" hidden="1" customWidth="1"/>
    <col min="7" max="16384" width="9.1796875" style="333"/>
  </cols>
  <sheetData>
    <row r="1" spans="1:6" ht="15" customHeight="1">
      <c r="A1" s="482" t="s">
        <v>738</v>
      </c>
      <c r="B1" s="483"/>
      <c r="C1" s="483"/>
      <c r="D1" s="483"/>
      <c r="E1" s="332"/>
      <c r="F1" s="332"/>
    </row>
    <row r="2" spans="1:6">
      <c r="A2" s="339"/>
      <c r="B2" s="343" t="s">
        <v>388</v>
      </c>
      <c r="C2" s="343" t="s">
        <v>390</v>
      </c>
      <c r="D2" s="343" t="s">
        <v>1</v>
      </c>
      <c r="E2" s="335"/>
      <c r="F2" s="335"/>
    </row>
    <row r="3" spans="1:6">
      <c r="A3" s="339" t="s">
        <v>751</v>
      </c>
      <c r="B3" s="345">
        <v>1</v>
      </c>
      <c r="C3" s="345">
        <v>1</v>
      </c>
      <c r="D3" s="345">
        <f>B3+C3</f>
        <v>2</v>
      </c>
      <c r="E3" s="336"/>
      <c r="F3" s="336"/>
    </row>
    <row r="4" spans="1:6">
      <c r="A4" s="334"/>
      <c r="B4" s="336"/>
      <c r="C4" s="336"/>
      <c r="D4" s="336"/>
      <c r="E4" s="336"/>
      <c r="F4" s="336"/>
    </row>
    <row r="5" spans="1:6">
      <c r="A5" s="339" t="s">
        <v>739</v>
      </c>
      <c r="B5" s="336"/>
      <c r="C5" s="336"/>
      <c r="D5" s="336"/>
      <c r="E5" s="336"/>
      <c r="F5" s="336"/>
    </row>
    <row r="6" spans="1:6">
      <c r="A6" s="334" t="s">
        <v>740</v>
      </c>
      <c r="B6" s="338">
        <v>5</v>
      </c>
      <c r="C6" s="338">
        <v>15</v>
      </c>
      <c r="D6" s="336"/>
      <c r="E6" s="336"/>
      <c r="F6" s="336"/>
    </row>
    <row r="7" spans="1:6">
      <c r="A7" s="334" t="s">
        <v>741</v>
      </c>
      <c r="B7" s="336">
        <f>B3*B6</f>
        <v>5</v>
      </c>
      <c r="C7" s="336">
        <f>C3*C6</f>
        <v>15</v>
      </c>
      <c r="D7" s="336">
        <f>D3*D6</f>
        <v>0</v>
      </c>
      <c r="E7" s="336"/>
      <c r="F7" s="336"/>
    </row>
    <row r="8" spans="1:6">
      <c r="A8" s="334" t="s">
        <v>746</v>
      </c>
      <c r="B8" s="336">
        <f>10*1000</f>
        <v>10000</v>
      </c>
      <c r="C8" s="336">
        <f>14*1000</f>
        <v>14000</v>
      </c>
      <c r="D8" s="336">
        <f>C8*(1+[6]Assumptions!$B$17)</f>
        <v>14700</v>
      </c>
      <c r="E8" s="336"/>
      <c r="F8" s="336"/>
    </row>
    <row r="9" spans="1:6">
      <c r="A9" s="334"/>
      <c r="B9" s="337"/>
      <c r="C9" s="337"/>
      <c r="D9" s="337"/>
      <c r="E9" s="336"/>
      <c r="F9" s="336"/>
    </row>
    <row r="10" spans="1:6">
      <c r="A10" s="339" t="s">
        <v>749</v>
      </c>
      <c r="B10" s="344">
        <f>((B7*B8))</f>
        <v>50000</v>
      </c>
      <c r="C10" s="344">
        <f>((C7*C8))</f>
        <v>210000</v>
      </c>
      <c r="D10" s="344">
        <f>SUM(B10:C10)</f>
        <v>260000</v>
      </c>
      <c r="E10" s="336"/>
      <c r="F10" s="336"/>
    </row>
    <row r="11" spans="1:6">
      <c r="A11" s="334"/>
      <c r="B11" s="336"/>
      <c r="C11" s="336"/>
      <c r="D11" s="336"/>
      <c r="E11" s="336"/>
      <c r="F11" s="336"/>
    </row>
    <row r="12" spans="1:6">
      <c r="A12" s="339" t="s">
        <v>348</v>
      </c>
      <c r="B12" s="336"/>
      <c r="C12" s="336"/>
      <c r="D12" s="336"/>
      <c r="E12" s="336"/>
      <c r="F12" s="336"/>
    </row>
    <row r="13" spans="1:6">
      <c r="A13" s="334" t="s">
        <v>742</v>
      </c>
      <c r="B13" s="336">
        <v>30000</v>
      </c>
      <c r="C13" s="336">
        <v>50000</v>
      </c>
      <c r="D13" s="336"/>
      <c r="E13" s="336"/>
      <c r="F13" s="336"/>
    </row>
    <row r="14" spans="1:6">
      <c r="A14" s="334" t="s">
        <v>744</v>
      </c>
      <c r="B14" s="336">
        <f>((B7*1000)/50)*20</f>
        <v>2000</v>
      </c>
      <c r="C14" s="336">
        <f>((C7*1000)/50)*20</f>
        <v>6000</v>
      </c>
      <c r="D14" s="336"/>
      <c r="E14" s="336"/>
      <c r="F14" s="336"/>
    </row>
    <row r="15" spans="1:6">
      <c r="A15" s="334" t="s">
        <v>293</v>
      </c>
      <c r="B15" s="336">
        <f>(B7*3000)</f>
        <v>15000</v>
      </c>
      <c r="C15" s="336">
        <f>(C7*3000)</f>
        <v>45000</v>
      </c>
      <c r="D15" s="336"/>
      <c r="E15" s="336"/>
      <c r="F15" s="336"/>
    </row>
    <row r="16" spans="1:6">
      <c r="A16" s="334" t="s">
        <v>743</v>
      </c>
      <c r="B16" s="336">
        <f>SUM(B13:B15)</f>
        <v>47000</v>
      </c>
      <c r="C16" s="336">
        <f>SUM(C13:C15)</f>
        <v>101000</v>
      </c>
      <c r="D16" s="336"/>
      <c r="E16" s="336"/>
      <c r="F16" s="336"/>
    </row>
    <row r="17" spans="1:6">
      <c r="A17" s="334"/>
      <c r="B17" s="336"/>
      <c r="C17" s="336"/>
      <c r="D17" s="336"/>
      <c r="E17" s="336"/>
      <c r="F17" s="336"/>
    </row>
    <row r="18" spans="1:6">
      <c r="A18" s="339" t="s">
        <v>745</v>
      </c>
      <c r="B18" s="345">
        <f>B10-B16</f>
        <v>3000</v>
      </c>
      <c r="C18" s="345">
        <f>C10-C16</f>
        <v>109000</v>
      </c>
      <c r="D18" s="343">
        <f>SUM(B18:C18)</f>
        <v>112000</v>
      </c>
      <c r="E18" s="336"/>
      <c r="F18" s="336"/>
    </row>
    <row r="19" spans="1:6">
      <c r="A19" s="334"/>
      <c r="B19" s="336"/>
      <c r="C19" s="336"/>
      <c r="D19" s="336"/>
      <c r="E19" s="336"/>
      <c r="F19" s="336"/>
    </row>
    <row r="20" spans="1:6">
      <c r="A20" s="339" t="s">
        <v>748</v>
      </c>
      <c r="B20" s="337"/>
      <c r="C20" s="337"/>
      <c r="D20" s="337"/>
      <c r="E20" s="336"/>
      <c r="F20" s="336"/>
    </row>
    <row r="21" spans="1:6">
      <c r="A21" s="334" t="str">
        <f>A6</f>
        <v>Average current productivity per acre of Maize(in MT)</v>
      </c>
      <c r="B21" s="336">
        <f>B6</f>
        <v>5</v>
      </c>
      <c r="C21" s="336">
        <f>C6</f>
        <v>15</v>
      </c>
      <c r="D21" s="336">
        <f>C21*(1+[6]Assumptions!$B$17)</f>
        <v>15.75</v>
      </c>
      <c r="E21" s="340"/>
      <c r="F21" s="340"/>
    </row>
    <row r="22" spans="1:6">
      <c r="A22" s="334" t="str">
        <f>A7</f>
        <v>Total Production of Maize (in MT)</v>
      </c>
      <c r="B22" s="336">
        <f>B8*1.1</f>
        <v>11000</v>
      </c>
      <c r="C22" s="336">
        <f>C8*1.1</f>
        <v>15400.000000000002</v>
      </c>
      <c r="D22" s="336">
        <f>C22*(1+[6]Assumptions!$B$17)</f>
        <v>16170.000000000002</v>
      </c>
      <c r="E22" s="340"/>
      <c r="F22" s="340"/>
    </row>
    <row r="23" spans="1:6">
      <c r="A23" s="334"/>
      <c r="B23" s="337"/>
      <c r="C23" s="337"/>
      <c r="D23" s="337"/>
    </row>
    <row r="24" spans="1:6">
      <c r="A24" s="339" t="s">
        <v>749</v>
      </c>
      <c r="B24" s="343">
        <f>B21*B22</f>
        <v>55000</v>
      </c>
      <c r="C24" s="343">
        <f>C21*C22</f>
        <v>231000.00000000003</v>
      </c>
      <c r="D24" s="343">
        <f>SUM(B24:C24)</f>
        <v>286000</v>
      </c>
    </row>
    <row r="25" spans="1:6">
      <c r="A25" s="334"/>
      <c r="B25" s="341">
        <f>+ROUND(B23-B9,2)</f>
        <v>0</v>
      </c>
      <c r="C25" s="341">
        <f>+ROUND(C23-C9,2)</f>
        <v>0</v>
      </c>
      <c r="D25" s="341">
        <f>+ROUND(D23-D9,2)</f>
        <v>0</v>
      </c>
    </row>
    <row r="26" spans="1:6">
      <c r="A26" s="339" t="s">
        <v>348</v>
      </c>
      <c r="B26" s="341"/>
      <c r="C26" s="341"/>
      <c r="D26" s="341"/>
    </row>
    <row r="27" spans="1:6">
      <c r="A27" s="334" t="str">
        <f>A13</f>
        <v>Cultivation to harvesting expenditure per acres</v>
      </c>
      <c r="B27" s="341">
        <f>B13</f>
        <v>30000</v>
      </c>
      <c r="C27" s="341">
        <f>C13</f>
        <v>50000</v>
      </c>
      <c r="D27" s="335">
        <f>SUM(B27:C27)</f>
        <v>80000</v>
      </c>
    </row>
    <row r="28" spans="1:6">
      <c r="A28" s="334" t="str">
        <f>A14</f>
        <v>Packaging</v>
      </c>
      <c r="B28" s="341">
        <v>0</v>
      </c>
      <c r="C28" s="341">
        <v>0</v>
      </c>
      <c r="D28" s="335">
        <f t="shared" ref="D28:D32" si="0">SUM(B28:C28)</f>
        <v>0</v>
      </c>
    </row>
    <row r="29" spans="1:6">
      <c r="A29" s="334" t="str">
        <f>A15</f>
        <v>Transportation Charges</v>
      </c>
      <c r="B29" s="341">
        <v>0</v>
      </c>
      <c r="C29" s="341">
        <v>0</v>
      </c>
      <c r="D29" s="335">
        <f t="shared" si="0"/>
        <v>0</v>
      </c>
    </row>
    <row r="30" spans="1:6">
      <c r="A30" s="334" t="s">
        <v>747</v>
      </c>
      <c r="B30" s="341">
        <f>SUM(B27:B29)</f>
        <v>30000</v>
      </c>
      <c r="C30" s="341">
        <f>SUM(C27:C29)</f>
        <v>50000</v>
      </c>
      <c r="D30" s="335">
        <f t="shared" si="0"/>
        <v>80000</v>
      </c>
    </row>
    <row r="31" spans="1:6">
      <c r="A31" s="334">
        <f>A17</f>
        <v>0</v>
      </c>
      <c r="B31" s="341"/>
      <c r="C31" s="341"/>
      <c r="D31" s="341"/>
    </row>
    <row r="32" spans="1:6">
      <c r="A32" s="339" t="str">
        <f>A18</f>
        <v>Net Revenue to Farmers</v>
      </c>
      <c r="B32" s="346">
        <f>B24-B30</f>
        <v>25000</v>
      </c>
      <c r="C32" s="346">
        <f>C24-C30</f>
        <v>181000.00000000003</v>
      </c>
      <c r="D32" s="343">
        <f t="shared" si="0"/>
        <v>206000.00000000003</v>
      </c>
    </row>
    <row r="33" spans="1:4">
      <c r="A33" s="334"/>
      <c r="B33" s="341"/>
      <c r="C33" s="341"/>
      <c r="D33" s="341"/>
    </row>
    <row r="34" spans="1:4">
      <c r="A34" s="339" t="s">
        <v>750</v>
      </c>
      <c r="B34" s="343">
        <f>B32-B18</f>
        <v>22000</v>
      </c>
      <c r="C34" s="343">
        <f>C32-C18</f>
        <v>72000.000000000029</v>
      </c>
      <c r="D34" s="343">
        <f>SUM(B34:C34)</f>
        <v>94000.000000000029</v>
      </c>
    </row>
    <row r="35" spans="1:4">
      <c r="B35" s="342"/>
      <c r="C35" s="342"/>
      <c r="D35" s="342"/>
    </row>
  </sheetData>
  <mergeCells count="1">
    <mergeCell ref="A1:D1"/>
  </mergeCells>
  <pageMargins left="0.7" right="0.7"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6"/>
  <sheetViews>
    <sheetView view="pageBreakPreview" zoomScaleSheetLayoutView="100" workbookViewId="0">
      <selection activeCell="G8" sqref="G8"/>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2" bestFit="1" customWidth="1"/>
    <col min="8" max="8" width="11.54296875" bestFit="1" customWidth="1"/>
    <col min="9" max="10" width="10.453125" bestFit="1" customWidth="1"/>
  </cols>
  <sheetData>
    <row r="2" spans="1:10" ht="17.5">
      <c r="A2">
        <v>2.1</v>
      </c>
      <c r="B2" s="411" t="s">
        <v>155</v>
      </c>
      <c r="C2" s="411"/>
      <c r="D2" s="411"/>
      <c r="E2" s="411"/>
      <c r="F2" s="411"/>
      <c r="G2" s="411"/>
    </row>
    <row r="4" spans="1:10" ht="28">
      <c r="B4" s="179" t="s">
        <v>146</v>
      </c>
      <c r="C4" s="179" t="s">
        <v>128</v>
      </c>
      <c r="D4" s="179" t="s">
        <v>133</v>
      </c>
      <c r="E4" s="179" t="s">
        <v>147</v>
      </c>
      <c r="F4" s="179" t="s">
        <v>148</v>
      </c>
      <c r="G4" s="179" t="s">
        <v>158</v>
      </c>
    </row>
    <row r="5" spans="1:10">
      <c r="B5" s="351">
        <v>1</v>
      </c>
      <c r="C5" s="351" t="s">
        <v>149</v>
      </c>
      <c r="D5" s="351" t="s">
        <v>150</v>
      </c>
      <c r="E5" s="352"/>
      <c r="F5" s="353"/>
      <c r="G5" s="354" t="s">
        <v>753</v>
      </c>
    </row>
    <row r="6" spans="1:10">
      <c r="B6" s="351">
        <v>2</v>
      </c>
      <c r="C6" s="351" t="s">
        <v>803</v>
      </c>
      <c r="D6" s="315" t="s">
        <v>777</v>
      </c>
      <c r="E6" s="355">
        <v>572.73</v>
      </c>
      <c r="F6" s="381">
        <f>G6/E6</f>
        <v>23514.505962670017</v>
      </c>
      <c r="G6" s="382">
        <v>13467463</v>
      </c>
      <c r="H6" s="52"/>
      <c r="J6" s="52"/>
    </row>
    <row r="7" spans="1:10">
      <c r="B7" s="351"/>
      <c r="C7" s="351"/>
      <c r="D7" s="315"/>
      <c r="E7" s="355"/>
      <c r="F7" s="356"/>
      <c r="G7" s="357">
        <f t="shared" ref="G7" si="0">E7*F7</f>
        <v>0</v>
      </c>
    </row>
    <row r="8" spans="1:10">
      <c r="B8" s="413" t="s">
        <v>1</v>
      </c>
      <c r="C8" s="413"/>
      <c r="D8" s="413"/>
      <c r="E8" s="413"/>
      <c r="F8" s="413"/>
      <c r="G8" s="193">
        <f>SUM(G6:G7)</f>
        <v>13467463</v>
      </c>
    </row>
    <row r="11" spans="1:10">
      <c r="B11" s="410" t="s">
        <v>402</v>
      </c>
      <c r="C11" s="410"/>
      <c r="D11" s="410"/>
      <c r="E11" s="410"/>
      <c r="F11" s="410"/>
      <c r="G11" s="410"/>
    </row>
    <row r="13" spans="1:10" ht="17.5">
      <c r="A13">
        <v>2.2000000000000002</v>
      </c>
      <c r="B13" s="411" t="s">
        <v>156</v>
      </c>
      <c r="C13" s="411"/>
      <c r="D13" s="411"/>
      <c r="E13" s="411"/>
      <c r="F13" s="411"/>
      <c r="G13" s="411"/>
      <c r="H13" s="411"/>
    </row>
    <row r="14" spans="1:10">
      <c r="B14" s="13"/>
    </row>
    <row r="15" spans="1:10" ht="28">
      <c r="B15" s="179" t="s">
        <v>146</v>
      </c>
      <c r="C15" s="179" t="s">
        <v>151</v>
      </c>
      <c r="D15" s="179" t="s">
        <v>161</v>
      </c>
      <c r="E15" s="179" t="s">
        <v>152</v>
      </c>
      <c r="F15" s="179" t="s">
        <v>153</v>
      </c>
      <c r="G15" s="179" t="s">
        <v>158</v>
      </c>
      <c r="H15" s="179" t="s">
        <v>154</v>
      </c>
    </row>
    <row r="16" spans="1:10">
      <c r="B16" s="229"/>
      <c r="C16" s="73"/>
      <c r="D16" s="73"/>
      <c r="E16" s="73"/>
      <c r="F16" s="73"/>
      <c r="G16" s="358"/>
      <c r="H16" s="194"/>
    </row>
    <row r="17" spans="2:8">
      <c r="B17" s="185" t="s">
        <v>173</v>
      </c>
      <c r="C17" s="186" t="s">
        <v>358</v>
      </c>
      <c r="D17" s="186"/>
      <c r="E17" s="185"/>
      <c r="F17" s="189"/>
      <c r="G17" s="358"/>
      <c r="H17" s="197"/>
    </row>
    <row r="18" spans="2:8">
      <c r="B18" s="185">
        <v>1</v>
      </c>
      <c r="C18" s="186" t="s">
        <v>778</v>
      </c>
      <c r="E18" s="186">
        <v>1</v>
      </c>
      <c r="F18" s="189">
        <v>730000</v>
      </c>
      <c r="G18" s="358">
        <f>E18*F18</f>
        <v>730000</v>
      </c>
      <c r="H18" s="197"/>
    </row>
    <row r="19" spans="2:8">
      <c r="B19" s="185">
        <v>2</v>
      </c>
      <c r="C19" s="186" t="s">
        <v>779</v>
      </c>
      <c r="D19" s="186"/>
      <c r="E19" s="185">
        <v>1</v>
      </c>
      <c r="F19" s="189">
        <v>196000</v>
      </c>
      <c r="G19" s="358">
        <f>E19*F19</f>
        <v>196000</v>
      </c>
      <c r="H19" s="197"/>
    </row>
    <row r="20" spans="2:8">
      <c r="B20" s="185"/>
      <c r="C20" s="186"/>
      <c r="D20" s="186"/>
      <c r="E20" s="185"/>
      <c r="F20" s="189"/>
      <c r="G20" s="358"/>
      <c r="H20" s="197"/>
    </row>
    <row r="21" spans="2:8">
      <c r="B21" s="185"/>
      <c r="C21" s="186"/>
      <c r="D21" s="186"/>
      <c r="E21" s="185"/>
      <c r="F21" s="189"/>
      <c r="G21" s="358"/>
      <c r="H21" s="197"/>
    </row>
    <row r="22" spans="2:8">
      <c r="B22" s="185"/>
      <c r="C22" s="186"/>
      <c r="D22" s="186"/>
      <c r="E22" s="185"/>
      <c r="F22" s="189"/>
      <c r="G22" s="358"/>
      <c r="H22" s="197"/>
    </row>
    <row r="23" spans="2:8">
      <c r="B23" s="185"/>
      <c r="C23" s="186"/>
      <c r="D23" s="186"/>
      <c r="E23" s="185"/>
      <c r="F23" s="189"/>
      <c r="G23" s="358"/>
      <c r="H23" s="197"/>
    </row>
    <row r="24" spans="2:8">
      <c r="B24" s="185"/>
      <c r="C24" s="186"/>
      <c r="D24" s="186"/>
      <c r="E24" s="185"/>
      <c r="F24" s="189"/>
      <c r="G24" s="358"/>
      <c r="H24" s="197"/>
    </row>
    <row r="25" spans="2:8">
      <c r="B25" s="185"/>
      <c r="C25" s="186"/>
      <c r="D25" s="185"/>
      <c r="E25" s="185"/>
      <c r="F25" s="189"/>
      <c r="G25" s="358"/>
      <c r="H25" s="197"/>
    </row>
    <row r="26" spans="2:8">
      <c r="B26" s="185"/>
      <c r="C26" s="186"/>
      <c r="D26" s="185"/>
      <c r="E26" s="185"/>
      <c r="F26" s="189"/>
      <c r="G26" s="358"/>
      <c r="H26" s="197"/>
    </row>
    <row r="27" spans="2:8">
      <c r="B27" s="185"/>
      <c r="C27" s="186"/>
      <c r="D27" s="185"/>
      <c r="E27" s="185"/>
      <c r="F27" s="189"/>
      <c r="G27" s="358"/>
      <c r="H27" s="197"/>
    </row>
    <row r="28" spans="2:8">
      <c r="B28" s="185"/>
      <c r="C28" s="186"/>
      <c r="D28" s="185"/>
      <c r="E28" s="185"/>
      <c r="F28" s="189"/>
      <c r="G28" s="358"/>
      <c r="H28" s="197"/>
    </row>
    <row r="29" spans="2:8">
      <c r="B29" s="185"/>
      <c r="C29" s="186"/>
      <c r="D29" s="185"/>
      <c r="E29" s="185"/>
      <c r="F29" s="189"/>
      <c r="G29" s="358"/>
      <c r="H29" s="197"/>
    </row>
    <row r="30" spans="2:8">
      <c r="B30" s="185"/>
      <c r="C30" s="186"/>
      <c r="D30" s="185"/>
      <c r="E30" s="185"/>
      <c r="F30" s="189"/>
      <c r="G30" s="358"/>
      <c r="H30" s="197"/>
    </row>
    <row r="31" spans="2:8">
      <c r="B31" s="185"/>
      <c r="C31" s="186"/>
      <c r="D31" s="185"/>
      <c r="E31" s="185"/>
      <c r="F31" s="189"/>
      <c r="G31" s="358"/>
      <c r="H31" s="197"/>
    </row>
    <row r="32" spans="2:8">
      <c r="B32" s="414" t="s">
        <v>171</v>
      </c>
      <c r="C32" s="414"/>
      <c r="D32" s="185"/>
      <c r="E32" s="185"/>
      <c r="F32" s="192"/>
      <c r="G32" s="358">
        <f>SUM(G17:G31)</f>
        <v>926000</v>
      </c>
      <c r="H32" s="195">
        <f>SUM(H17:H28)</f>
        <v>0</v>
      </c>
    </row>
    <row r="33" spans="2:8">
      <c r="B33" s="185" t="s">
        <v>175</v>
      </c>
      <c r="C33" s="9" t="s">
        <v>775</v>
      </c>
      <c r="D33" s="229" t="s">
        <v>359</v>
      </c>
      <c r="E33" s="229"/>
      <c r="F33" s="358"/>
      <c r="G33" s="358"/>
      <c r="H33" s="194"/>
    </row>
    <row r="34" spans="2:8">
      <c r="B34" s="185"/>
      <c r="C34" s="9" t="s">
        <v>799</v>
      </c>
      <c r="D34" s="229"/>
      <c r="E34" s="229">
        <v>4</v>
      </c>
      <c r="F34" s="358">
        <v>3580</v>
      </c>
      <c r="G34" s="358">
        <f t="shared" ref="G34:G35" si="1">E34*F34</f>
        <v>14320</v>
      </c>
      <c r="H34" s="194"/>
    </row>
    <row r="35" spans="2:8">
      <c r="B35" s="185"/>
      <c r="C35" s="186" t="s">
        <v>800</v>
      </c>
      <c r="D35" s="188"/>
      <c r="E35" s="229">
        <v>1</v>
      </c>
      <c r="F35" s="358">
        <v>3750</v>
      </c>
      <c r="G35" s="358">
        <f t="shared" si="1"/>
        <v>3750</v>
      </c>
      <c r="H35" s="194"/>
    </row>
    <row r="36" spans="2:8">
      <c r="B36" s="185"/>
      <c r="C36" s="186" t="s">
        <v>801</v>
      </c>
      <c r="D36" s="188"/>
      <c r="E36" s="229"/>
      <c r="F36" s="358"/>
      <c r="G36" s="358">
        <f>SUM(G34:G35)*18%</f>
        <v>3252.6</v>
      </c>
      <c r="H36" s="194"/>
    </row>
    <row r="37" spans="2:8">
      <c r="B37" s="414" t="s">
        <v>171</v>
      </c>
      <c r="C37" s="414"/>
      <c r="D37" s="188"/>
      <c r="E37" s="229"/>
      <c r="F37" s="358"/>
      <c r="G37" s="192">
        <f>SUM(G33:G36)</f>
        <v>21322.6</v>
      </c>
      <c r="H37" s="198">
        <v>10</v>
      </c>
    </row>
    <row r="38" spans="2:8">
      <c r="B38" s="185"/>
      <c r="C38" s="188" t="s">
        <v>783</v>
      </c>
      <c r="D38" s="188"/>
      <c r="E38" s="229">
        <v>1</v>
      </c>
      <c r="F38" s="358">
        <v>11800</v>
      </c>
      <c r="G38" s="358">
        <f>F38</f>
        <v>11800</v>
      </c>
      <c r="H38" s="195"/>
    </row>
    <row r="39" spans="2:8">
      <c r="B39" s="414" t="s">
        <v>171</v>
      </c>
      <c r="C39" s="414"/>
      <c r="D39" s="188"/>
      <c r="E39" s="229"/>
      <c r="F39" s="358"/>
      <c r="G39" s="358">
        <f>G38</f>
        <v>11800</v>
      </c>
      <c r="H39" s="195"/>
    </row>
    <row r="40" spans="2:8">
      <c r="B40" s="185" t="s">
        <v>176</v>
      </c>
      <c r="C40" s="359" t="s">
        <v>780</v>
      </c>
      <c r="D40" s="188"/>
      <c r="E40" s="229"/>
      <c r="F40" s="358"/>
      <c r="G40" s="358">
        <f>E40*F40</f>
        <v>0</v>
      </c>
      <c r="H40" s="195"/>
    </row>
    <row r="41" spans="2:8" ht="27" customHeight="1">
      <c r="B41" s="185">
        <v>1</v>
      </c>
      <c r="C41" s="391" t="s">
        <v>781</v>
      </c>
      <c r="D41" s="188"/>
      <c r="E41" s="188">
        <v>1</v>
      </c>
      <c r="F41" s="358">
        <v>24190</v>
      </c>
      <c r="G41" s="358">
        <f>E41*F41</f>
        <v>24190</v>
      </c>
      <c r="H41" s="195"/>
    </row>
    <row r="42" spans="2:8">
      <c r="B42" s="185">
        <v>2</v>
      </c>
      <c r="C42" s="391" t="s">
        <v>782</v>
      </c>
      <c r="D42" s="188"/>
      <c r="E42" s="188">
        <v>1</v>
      </c>
      <c r="F42" s="358">
        <v>22551</v>
      </c>
      <c r="G42" s="358">
        <f t="shared" ref="G42" si="2">E42*F42</f>
        <v>22551</v>
      </c>
      <c r="H42" s="195"/>
    </row>
    <row r="43" spans="2:8">
      <c r="B43" s="185"/>
      <c r="C43" s="186"/>
      <c r="D43" s="188"/>
      <c r="E43" s="229"/>
      <c r="F43" s="358"/>
      <c r="G43" s="358"/>
      <c r="H43" s="194"/>
    </row>
    <row r="44" spans="2:8">
      <c r="B44" s="185"/>
      <c r="C44" s="186"/>
      <c r="D44" s="188"/>
      <c r="E44" s="229"/>
      <c r="F44" s="358"/>
      <c r="G44" s="358"/>
      <c r="H44" s="194"/>
    </row>
    <row r="45" spans="2:8">
      <c r="B45" s="185"/>
      <c r="C45" s="186"/>
      <c r="D45" s="188"/>
      <c r="E45" s="229"/>
      <c r="F45" s="358"/>
      <c r="G45" s="358"/>
      <c r="H45" s="194"/>
    </row>
    <row r="46" spans="2:8">
      <c r="B46" s="185"/>
      <c r="C46" s="9"/>
      <c r="D46" s="188"/>
      <c r="E46" s="229"/>
      <c r="F46" s="358"/>
      <c r="G46" s="358"/>
      <c r="H46" s="194"/>
    </row>
    <row r="47" spans="2:8">
      <c r="B47" s="185"/>
      <c r="C47" s="186"/>
      <c r="D47" s="188"/>
      <c r="E47" s="229"/>
      <c r="F47" s="360"/>
      <c r="G47" s="358"/>
      <c r="H47" s="194"/>
    </row>
    <row r="48" spans="2:8">
      <c r="B48" s="414" t="s">
        <v>171</v>
      </c>
      <c r="C48" s="414"/>
      <c r="D48" s="188"/>
      <c r="E48" s="229"/>
      <c r="F48" s="358"/>
      <c r="G48" s="358">
        <f>SUM(G40:G47)</f>
        <v>46741</v>
      </c>
      <c r="H48" s="195">
        <f>SUM(H40:H42)</f>
        <v>0</v>
      </c>
    </row>
    <row r="49" spans="1:11">
      <c r="B49" s="229"/>
      <c r="C49" s="188"/>
      <c r="D49" s="188"/>
      <c r="E49" s="229"/>
      <c r="F49" s="358"/>
      <c r="G49" s="358"/>
      <c r="H49" s="194"/>
    </row>
    <row r="50" spans="1:11">
      <c r="B50" s="414" t="s">
        <v>1</v>
      </c>
      <c r="C50" s="414"/>
      <c r="D50" s="414"/>
      <c r="E50" s="414"/>
      <c r="F50" s="414"/>
      <c r="G50" s="192">
        <f>G32+G37+G48+G39</f>
        <v>1005863.6</v>
      </c>
      <c r="H50" s="192" t="e">
        <f>#REF!+H17+H37+H48</f>
        <v>#REF!</v>
      </c>
    </row>
    <row r="51" spans="1:11">
      <c r="B51" s="13"/>
      <c r="G51" s="15"/>
      <c r="I51" s="18"/>
    </row>
    <row r="52" spans="1:11">
      <c r="B52" s="410" t="s">
        <v>403</v>
      </c>
      <c r="C52" s="410"/>
      <c r="D52" s="410"/>
      <c r="E52" s="410"/>
      <c r="F52" s="410"/>
      <c r="G52" s="410"/>
      <c r="H52" s="410"/>
    </row>
    <row r="53" spans="1:11">
      <c r="B53" s="13"/>
      <c r="G53" s="15"/>
      <c r="I53" s="13"/>
      <c r="J53" s="13"/>
      <c r="K53" s="16"/>
    </row>
    <row r="56" spans="1:11" ht="17.5">
      <c r="A56">
        <v>2.2999999999999998</v>
      </c>
      <c r="B56" s="411" t="s">
        <v>370</v>
      </c>
      <c r="C56" s="411"/>
      <c r="D56" s="411"/>
      <c r="E56" s="411"/>
      <c r="F56" s="411"/>
    </row>
    <row r="58" spans="1:11" ht="29">
      <c r="B58" s="19" t="s">
        <v>146</v>
      </c>
      <c r="C58" s="47" t="s">
        <v>128</v>
      </c>
      <c r="D58" s="47" t="s">
        <v>152</v>
      </c>
      <c r="E58" s="47" t="s">
        <v>153</v>
      </c>
      <c r="F58" s="47" t="s">
        <v>158</v>
      </c>
    </row>
    <row r="59" spans="1:11">
      <c r="B59" s="201">
        <v>1</v>
      </c>
      <c r="C59" s="220" t="s">
        <v>792</v>
      </c>
      <c r="D59" s="201">
        <v>1</v>
      </c>
      <c r="E59" s="202">
        <v>15320</v>
      </c>
      <c r="F59" s="203">
        <f t="shared" ref="F59:F65" si="3">D59*E59</f>
        <v>15320</v>
      </c>
    </row>
    <row r="60" spans="1:11">
      <c r="B60" s="201">
        <v>2</v>
      </c>
      <c r="C60" s="220" t="s">
        <v>793</v>
      </c>
      <c r="D60" s="201">
        <v>2</v>
      </c>
      <c r="E60" s="202">
        <v>22750</v>
      </c>
      <c r="F60" s="203">
        <f t="shared" si="3"/>
        <v>45500</v>
      </c>
    </row>
    <row r="61" spans="1:11">
      <c r="B61" s="201">
        <v>3</v>
      </c>
      <c r="C61" s="220" t="s">
        <v>794</v>
      </c>
      <c r="D61" s="201">
        <v>1</v>
      </c>
      <c r="E61" s="202">
        <v>7800</v>
      </c>
      <c r="F61" s="203">
        <f t="shared" si="3"/>
        <v>7800</v>
      </c>
    </row>
    <row r="62" spans="1:11">
      <c r="B62" s="201">
        <v>4</v>
      </c>
      <c r="C62" s="220" t="s">
        <v>795</v>
      </c>
      <c r="D62" s="201">
        <v>2</v>
      </c>
      <c r="E62" s="202">
        <v>7360</v>
      </c>
      <c r="F62" s="203">
        <f t="shared" si="3"/>
        <v>14720</v>
      </c>
    </row>
    <row r="63" spans="1:11">
      <c r="B63" s="201">
        <v>5</v>
      </c>
      <c r="C63" s="220" t="s">
        <v>796</v>
      </c>
      <c r="D63" s="201">
        <v>2</v>
      </c>
      <c r="E63" s="202">
        <v>9800</v>
      </c>
      <c r="F63" s="203">
        <f t="shared" si="3"/>
        <v>19600</v>
      </c>
    </row>
    <row r="64" spans="1:11">
      <c r="B64" s="201">
        <v>6</v>
      </c>
      <c r="C64" s="220" t="s">
        <v>797</v>
      </c>
      <c r="D64" s="201">
        <v>10</v>
      </c>
      <c r="E64" s="202">
        <v>870</v>
      </c>
      <c r="F64" s="203">
        <f t="shared" si="3"/>
        <v>8700</v>
      </c>
    </row>
    <row r="65" spans="1:7">
      <c r="B65" s="201">
        <v>7</v>
      </c>
      <c r="C65" s="220" t="s">
        <v>798</v>
      </c>
      <c r="D65" s="201">
        <v>1</v>
      </c>
      <c r="E65" s="202">
        <v>180000</v>
      </c>
      <c r="F65" s="203">
        <f t="shared" si="3"/>
        <v>180000</v>
      </c>
    </row>
    <row r="66" spans="1:7">
      <c r="B66" s="419" t="s">
        <v>1</v>
      </c>
      <c r="C66" s="419"/>
      <c r="D66" s="419"/>
      <c r="E66" s="419"/>
      <c r="F66" s="17">
        <f>SUM(F59:F65)</f>
        <v>291640</v>
      </c>
    </row>
    <row r="68" spans="1:7">
      <c r="A68" s="410" t="s">
        <v>404</v>
      </c>
      <c r="B68" s="410"/>
      <c r="C68" s="410"/>
      <c r="D68" s="410"/>
      <c r="E68" s="410"/>
      <c r="F68" s="410"/>
      <c r="G68" s="410"/>
    </row>
    <row r="71" spans="1:7" ht="17.5">
      <c r="A71">
        <v>2.4</v>
      </c>
      <c r="B71" s="411" t="s">
        <v>369</v>
      </c>
      <c r="C71" s="411"/>
      <c r="D71" s="411"/>
      <c r="E71" s="411"/>
      <c r="F71" s="411"/>
    </row>
    <row r="73" spans="1:7" ht="29">
      <c r="B73" s="19" t="s">
        <v>146</v>
      </c>
      <c r="C73" s="47" t="s">
        <v>128</v>
      </c>
      <c r="D73" s="47" t="s">
        <v>152</v>
      </c>
      <c r="E73" s="47" t="s">
        <v>153</v>
      </c>
      <c r="F73" s="47" t="s">
        <v>158</v>
      </c>
    </row>
    <row r="74" spans="1:7">
      <c r="B74" s="201">
        <v>1</v>
      </c>
      <c r="C74" s="220" t="s">
        <v>773</v>
      </c>
      <c r="D74" s="201">
        <v>1</v>
      </c>
      <c r="E74" s="202">
        <v>62500</v>
      </c>
      <c r="F74" s="203">
        <f t="shared" ref="F74:F82" si="4">D74*E74</f>
        <v>62500</v>
      </c>
    </row>
    <row r="75" spans="1:7">
      <c r="B75" s="201">
        <v>2</v>
      </c>
      <c r="C75" s="220" t="s">
        <v>784</v>
      </c>
      <c r="D75" s="201">
        <v>1</v>
      </c>
      <c r="E75" s="202">
        <v>43200</v>
      </c>
      <c r="F75" s="203">
        <f t="shared" si="4"/>
        <v>43200</v>
      </c>
    </row>
    <row r="76" spans="1:7" ht="29">
      <c r="B76" s="201">
        <v>3</v>
      </c>
      <c r="C76" s="220" t="s">
        <v>785</v>
      </c>
      <c r="D76" s="201">
        <v>8</v>
      </c>
      <c r="E76" s="202">
        <v>6500</v>
      </c>
      <c r="F76" s="203">
        <f t="shared" si="4"/>
        <v>52000</v>
      </c>
    </row>
    <row r="77" spans="1:7" ht="29">
      <c r="B77" s="201">
        <v>4</v>
      </c>
      <c r="C77" s="220" t="s">
        <v>786</v>
      </c>
      <c r="D77" s="201">
        <v>1</v>
      </c>
      <c r="E77" s="202">
        <v>8700</v>
      </c>
      <c r="F77" s="203">
        <f t="shared" si="4"/>
        <v>8700</v>
      </c>
    </row>
    <row r="78" spans="1:7">
      <c r="B78" s="201">
        <v>5</v>
      </c>
      <c r="C78" s="220" t="s">
        <v>787</v>
      </c>
      <c r="D78" s="201">
        <v>1</v>
      </c>
      <c r="E78" s="202">
        <v>8500</v>
      </c>
      <c r="F78" s="203">
        <f t="shared" si="4"/>
        <v>8500</v>
      </c>
    </row>
    <row r="79" spans="1:7" ht="29">
      <c r="B79" s="201">
        <v>6</v>
      </c>
      <c r="C79" s="220" t="s">
        <v>788</v>
      </c>
      <c r="D79" s="201">
        <v>1</v>
      </c>
      <c r="E79" s="202">
        <v>5420</v>
      </c>
      <c r="F79" s="203">
        <f t="shared" si="4"/>
        <v>5420</v>
      </c>
    </row>
    <row r="80" spans="1:7">
      <c r="B80" s="201">
        <v>7</v>
      </c>
      <c r="C80" s="220" t="s">
        <v>789</v>
      </c>
      <c r="D80" s="201">
        <v>2</v>
      </c>
      <c r="E80" s="202">
        <v>9000</v>
      </c>
      <c r="F80" s="203">
        <f t="shared" si="4"/>
        <v>18000</v>
      </c>
    </row>
    <row r="81" spans="1:7">
      <c r="B81" s="201">
        <v>8</v>
      </c>
      <c r="C81" s="220" t="s">
        <v>790</v>
      </c>
      <c r="D81" s="201">
        <v>1</v>
      </c>
      <c r="E81" s="202">
        <v>3500</v>
      </c>
      <c r="F81" s="203">
        <f t="shared" si="4"/>
        <v>3500</v>
      </c>
    </row>
    <row r="82" spans="1:7">
      <c r="B82" s="201">
        <v>9</v>
      </c>
      <c r="C82" s="220" t="s">
        <v>791</v>
      </c>
      <c r="D82" s="201">
        <v>1</v>
      </c>
      <c r="E82" s="202">
        <v>45000</v>
      </c>
      <c r="F82" s="203">
        <f t="shared" si="4"/>
        <v>45000</v>
      </c>
    </row>
    <row r="83" spans="1:7">
      <c r="B83" s="201">
        <v>26</v>
      </c>
      <c r="C83" s="220"/>
      <c r="D83" s="201"/>
      <c r="E83" s="202"/>
      <c r="F83" s="203"/>
    </row>
    <row r="84" spans="1:7">
      <c r="B84" s="419" t="s">
        <v>1</v>
      </c>
      <c r="C84" s="419"/>
      <c r="D84" s="419"/>
      <c r="E84" s="419"/>
      <c r="F84" s="17">
        <f>SUM(F74:F83)</f>
        <v>246820</v>
      </c>
    </row>
    <row r="86" spans="1:7">
      <c r="A86" s="410" t="s">
        <v>404</v>
      </c>
      <c r="B86" s="410"/>
      <c r="C86" s="410"/>
      <c r="D86" s="410"/>
      <c r="E86" s="410"/>
      <c r="F86" s="410"/>
      <c r="G86" s="410"/>
    </row>
    <row r="89" spans="1:7" ht="17.5">
      <c r="A89">
        <v>2.5</v>
      </c>
      <c r="B89" s="411" t="s">
        <v>274</v>
      </c>
      <c r="C89" s="411"/>
      <c r="D89" s="411"/>
      <c r="E89" s="411"/>
      <c r="F89" s="411"/>
    </row>
    <row r="91" spans="1:7" ht="28">
      <c r="B91" s="178" t="s">
        <v>146</v>
      </c>
      <c r="C91" s="179" t="s">
        <v>128</v>
      </c>
      <c r="D91" s="179" t="s">
        <v>152</v>
      </c>
      <c r="E91" s="179" t="s">
        <v>153</v>
      </c>
      <c r="F91" s="179" t="s">
        <v>158</v>
      </c>
    </row>
    <row r="92" spans="1:7">
      <c r="B92" s="199"/>
      <c r="C92" s="200"/>
      <c r="D92" s="199"/>
      <c r="E92" s="204"/>
      <c r="F92" s="195"/>
    </row>
    <row r="93" spans="1:7">
      <c r="B93" s="199"/>
      <c r="C93" s="200"/>
      <c r="D93" s="199"/>
      <c r="E93" s="204"/>
      <c r="F93" s="195"/>
    </row>
    <row r="94" spans="1:7">
      <c r="B94" s="199"/>
      <c r="C94" s="200"/>
      <c r="D94" s="199"/>
      <c r="E94" s="204"/>
      <c r="F94" s="195"/>
    </row>
    <row r="95" spans="1:7">
      <c r="B95" s="199"/>
      <c r="C95" s="200"/>
      <c r="D95" s="199"/>
      <c r="E95" s="204"/>
      <c r="F95" s="195"/>
    </row>
    <row r="96" spans="1:7">
      <c r="B96" s="199"/>
      <c r="C96" s="200"/>
      <c r="D96" s="199"/>
      <c r="E96" s="204"/>
      <c r="F96" s="195"/>
    </row>
    <row r="97" spans="2:6">
      <c r="B97" s="420"/>
      <c r="C97" s="421"/>
      <c r="D97" s="196"/>
      <c r="E97" s="348"/>
      <c r="F97" s="198"/>
    </row>
    <row r="98" spans="2:6">
      <c r="B98" s="199"/>
      <c r="C98" s="200"/>
      <c r="D98" s="199"/>
      <c r="E98" s="204"/>
      <c r="F98" s="195"/>
    </row>
    <row r="99" spans="2:6">
      <c r="B99" s="199"/>
      <c r="C99" s="200"/>
      <c r="D99" s="199"/>
      <c r="E99" s="204"/>
      <c r="F99" s="195"/>
    </row>
    <row r="100" spans="2:6">
      <c r="B100" s="199"/>
      <c r="C100" s="200"/>
      <c r="D100" s="199"/>
      <c r="E100" s="204"/>
      <c r="F100" s="195"/>
    </row>
    <row r="101" spans="2:6">
      <c r="B101" s="199"/>
      <c r="C101" s="200"/>
      <c r="D101" s="199"/>
      <c r="E101" s="204"/>
      <c r="F101" s="195"/>
    </row>
    <row r="102" spans="2:6">
      <c r="B102" s="199"/>
      <c r="C102" s="200"/>
      <c r="D102" s="199"/>
      <c r="E102" s="204"/>
      <c r="F102" s="195"/>
    </row>
    <row r="103" spans="2:6">
      <c r="B103" s="199"/>
      <c r="C103" s="200"/>
      <c r="D103" s="199"/>
      <c r="E103" s="204"/>
      <c r="F103" s="195"/>
    </row>
    <row r="104" spans="2:6">
      <c r="B104" s="420"/>
      <c r="C104" s="421"/>
      <c r="D104" s="196"/>
      <c r="E104" s="348"/>
      <c r="F104" s="198"/>
    </row>
    <row r="105" spans="2:6">
      <c r="B105" s="199"/>
      <c r="C105" s="200"/>
      <c r="D105" s="199"/>
      <c r="E105" s="204"/>
      <c r="F105" s="195"/>
    </row>
    <row r="106" spans="2:6">
      <c r="B106" s="199"/>
      <c r="C106" s="200"/>
      <c r="D106" s="199"/>
      <c r="E106" s="204"/>
      <c r="F106" s="195"/>
    </row>
    <row r="107" spans="2:6">
      <c r="B107" s="199"/>
      <c r="C107" s="200"/>
      <c r="D107" s="199"/>
      <c r="E107" s="204"/>
      <c r="F107" s="195"/>
    </row>
    <row r="108" spans="2:6">
      <c r="B108" s="199"/>
      <c r="C108" s="200"/>
      <c r="D108" s="199"/>
      <c r="E108" s="204"/>
      <c r="F108" s="195"/>
    </row>
    <row r="109" spans="2:6">
      <c r="B109" s="199"/>
      <c r="C109" s="200"/>
      <c r="D109" s="199"/>
      <c r="E109" s="204"/>
      <c r="F109" s="195"/>
    </row>
    <row r="110" spans="2:6">
      <c r="B110" s="199"/>
      <c r="C110" s="200"/>
      <c r="D110" s="199"/>
      <c r="E110" s="204"/>
      <c r="F110" s="195"/>
    </row>
    <row r="111" spans="2:6">
      <c r="B111" s="199"/>
      <c r="C111" s="200"/>
      <c r="D111" s="199"/>
      <c r="E111" s="204"/>
      <c r="F111" s="195"/>
    </row>
    <row r="112" spans="2:6">
      <c r="B112" s="420" t="s">
        <v>171</v>
      </c>
      <c r="C112" s="421"/>
      <c r="D112" s="196"/>
      <c r="E112" s="348"/>
      <c r="F112" s="198">
        <f>SUM(F105:F111)</f>
        <v>0</v>
      </c>
    </row>
    <row r="113" spans="1:7">
      <c r="B113" s="414" t="s">
        <v>1</v>
      </c>
      <c r="C113" s="414"/>
      <c r="D113" s="414"/>
      <c r="E113" s="414"/>
      <c r="F113" s="181">
        <f>F97+F112+F104</f>
        <v>0</v>
      </c>
    </row>
    <row r="114" spans="1:7">
      <c r="A114" s="418" t="s">
        <v>438</v>
      </c>
      <c r="B114" s="418"/>
      <c r="C114" s="418"/>
      <c r="D114" s="418"/>
      <c r="E114" s="418"/>
      <c r="F114" s="418"/>
      <c r="G114" s="418"/>
    </row>
    <row r="117" spans="1:7" ht="17.5">
      <c r="A117">
        <v>2.6</v>
      </c>
      <c r="B117" s="411" t="s">
        <v>252</v>
      </c>
      <c r="C117" s="411"/>
      <c r="D117" s="411"/>
    </row>
    <row r="118" spans="1:7" ht="15" thickBot="1"/>
    <row r="119" spans="1:7" ht="28.5" thickBot="1">
      <c r="B119" s="190" t="s">
        <v>146</v>
      </c>
      <c r="C119" s="191" t="s">
        <v>128</v>
      </c>
      <c r="D119" s="191" t="s">
        <v>368</v>
      </c>
    </row>
    <row r="120" spans="1:7" ht="15" thickBot="1">
      <c r="B120" s="361">
        <v>1</v>
      </c>
      <c r="C120" s="362" t="s">
        <v>721</v>
      </c>
      <c r="D120" s="363">
        <v>11500</v>
      </c>
    </row>
    <row r="121" spans="1:7" ht="15" thickBot="1">
      <c r="B121" s="384">
        <v>2</v>
      </c>
      <c r="C121" s="362" t="s">
        <v>720</v>
      </c>
      <c r="D121" s="363">
        <v>30000</v>
      </c>
    </row>
    <row r="122" spans="1:7" ht="15" thickBot="1">
      <c r="B122" s="390">
        <v>3</v>
      </c>
      <c r="C122" s="362" t="s">
        <v>754</v>
      </c>
      <c r="D122" s="363">
        <f>28200+4460</f>
        <v>32660</v>
      </c>
    </row>
    <row r="123" spans="1:7" ht="15" thickBot="1">
      <c r="B123" s="383"/>
      <c r="C123" s="362"/>
      <c r="D123" s="363"/>
    </row>
    <row r="124" spans="1:7" ht="15" thickBot="1">
      <c r="B124" s="415" t="s">
        <v>1</v>
      </c>
      <c r="C124" s="416"/>
      <c r="D124" s="364">
        <f>SUM(D120:D122)</f>
        <v>74160</v>
      </c>
    </row>
    <row r="126" spans="1:7" ht="43.5" customHeight="1">
      <c r="A126" s="417" t="s">
        <v>681</v>
      </c>
      <c r="B126" s="417"/>
      <c r="C126" s="417"/>
      <c r="D126" s="417"/>
      <c r="E126" s="417"/>
    </row>
  </sheetData>
  <mergeCells count="25">
    <mergeCell ref="B124:C124"/>
    <mergeCell ref="A126:E126"/>
    <mergeCell ref="B48:C48"/>
    <mergeCell ref="A86:G86"/>
    <mergeCell ref="B113:E113"/>
    <mergeCell ref="B89:F89"/>
    <mergeCell ref="A114:G114"/>
    <mergeCell ref="B117:D117"/>
    <mergeCell ref="B66:E66"/>
    <mergeCell ref="B56:F56"/>
    <mergeCell ref="A68:G68"/>
    <mergeCell ref="B84:E84"/>
    <mergeCell ref="B71:F71"/>
    <mergeCell ref="B112:C112"/>
    <mergeCell ref="B104:C104"/>
    <mergeCell ref="B97:C97"/>
    <mergeCell ref="B8:F8"/>
    <mergeCell ref="B2:G2"/>
    <mergeCell ref="B11:G11"/>
    <mergeCell ref="B52:H52"/>
    <mergeCell ref="B50:F50"/>
    <mergeCell ref="B13:H13"/>
    <mergeCell ref="B32:C32"/>
    <mergeCell ref="B37:C37"/>
    <mergeCell ref="B39:C39"/>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G61" zoomScale="115" zoomScaleSheetLayoutView="115" workbookViewId="0">
      <selection activeCell="K65" sqref="K65:Q68"/>
    </sheetView>
  </sheetViews>
  <sheetFormatPr defaultRowHeight="14.5"/>
  <cols>
    <col min="1" max="1" width="25.81640625" bestFit="1" customWidth="1"/>
    <col min="2" max="2" width="14.54296875" bestFit="1" customWidth="1"/>
    <col min="3" max="9" width="11.81640625" bestFit="1" customWidth="1"/>
    <col min="10" max="10" width="14.7265625" bestFit="1" customWidth="1"/>
    <col min="11" max="17" width="11.81640625" bestFit="1" customWidth="1"/>
  </cols>
  <sheetData>
    <row r="2" spans="1:11" ht="17.5">
      <c r="A2" s="411" t="s">
        <v>688</v>
      </c>
      <c r="B2" s="411"/>
      <c r="C2" s="411"/>
      <c r="D2" s="411"/>
      <c r="E2" s="411"/>
      <c r="F2" s="411"/>
      <c r="G2" s="411"/>
      <c r="H2" s="411"/>
      <c r="I2" s="411"/>
      <c r="J2" s="411"/>
      <c r="K2" s="411"/>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379</v>
      </c>
      <c r="D6" s="124" t="s">
        <v>286</v>
      </c>
      <c r="E6" s="96" t="s">
        <v>2</v>
      </c>
      <c r="F6" s="96" t="s">
        <v>3</v>
      </c>
      <c r="G6" s="96" t="s">
        <v>4</v>
      </c>
      <c r="H6" s="96" t="s">
        <v>5</v>
      </c>
      <c r="I6" s="96" t="s">
        <v>6</v>
      </c>
      <c r="J6" s="96" t="s">
        <v>169</v>
      </c>
      <c r="K6" s="96" t="s">
        <v>168</v>
      </c>
    </row>
    <row r="7" spans="1:11">
      <c r="A7" s="73"/>
      <c r="B7" s="73"/>
      <c r="C7" s="73"/>
      <c r="D7" s="73"/>
      <c r="E7" s="73"/>
      <c r="F7" s="73"/>
      <c r="G7" s="73"/>
      <c r="H7" s="73"/>
      <c r="I7" s="73"/>
      <c r="J7" s="73"/>
      <c r="K7" s="73"/>
    </row>
    <row r="8" spans="1:11">
      <c r="A8" s="73" t="s">
        <v>322</v>
      </c>
      <c r="B8" s="73" t="s">
        <v>380</v>
      </c>
      <c r="C8" s="73">
        <v>1</v>
      </c>
      <c r="D8" s="165"/>
      <c r="E8" s="74">
        <f>$C8*$D8*12*E$4</f>
        <v>0</v>
      </c>
      <c r="F8" s="74">
        <f t="shared" ref="F8:K8" si="1">$C8*$D8*12*F$4</f>
        <v>0</v>
      </c>
      <c r="G8" s="74">
        <f t="shared" si="1"/>
        <v>0</v>
      </c>
      <c r="H8" s="74">
        <f t="shared" si="1"/>
        <v>0</v>
      </c>
      <c r="I8" s="74">
        <f t="shared" si="1"/>
        <v>0</v>
      </c>
      <c r="J8" s="74">
        <f t="shared" si="1"/>
        <v>0</v>
      </c>
      <c r="K8" s="74">
        <f t="shared" si="1"/>
        <v>0</v>
      </c>
    </row>
    <row r="9" spans="1:11">
      <c r="A9" s="73" t="s">
        <v>187</v>
      </c>
      <c r="B9" s="73" t="s">
        <v>380</v>
      </c>
      <c r="C9" s="73">
        <v>1</v>
      </c>
      <c r="D9" s="165">
        <v>12000</v>
      </c>
      <c r="E9" s="74">
        <f>$C9*$D9*12*E$4</f>
        <v>144000</v>
      </c>
      <c r="F9" s="74">
        <f t="shared" ref="F9:K10" si="2">$C9*$D9*12*F$4</f>
        <v>151200</v>
      </c>
      <c r="G9" s="74">
        <f t="shared" si="2"/>
        <v>158760</v>
      </c>
      <c r="H9" s="74">
        <f t="shared" si="2"/>
        <v>166698.00000000003</v>
      </c>
      <c r="I9" s="74">
        <f t="shared" si="2"/>
        <v>175032.90000000002</v>
      </c>
      <c r="J9" s="74">
        <f t="shared" si="2"/>
        <v>183784.54500000004</v>
      </c>
      <c r="K9" s="74">
        <f t="shared" si="2"/>
        <v>192973.77225000007</v>
      </c>
    </row>
    <row r="10" spans="1:11">
      <c r="A10" s="73" t="s">
        <v>192</v>
      </c>
      <c r="B10" s="73" t="s">
        <v>380</v>
      </c>
      <c r="C10" s="73">
        <v>2</v>
      </c>
      <c r="D10" s="165">
        <v>7500</v>
      </c>
      <c r="E10" s="74">
        <f>$C10*$D10*12*E$4</f>
        <v>180000</v>
      </c>
      <c r="F10" s="74">
        <f t="shared" si="2"/>
        <v>189000</v>
      </c>
      <c r="G10" s="74">
        <f t="shared" si="2"/>
        <v>198450</v>
      </c>
      <c r="H10" s="74">
        <f t="shared" si="2"/>
        <v>208372.50000000003</v>
      </c>
      <c r="I10" s="74">
        <f t="shared" si="2"/>
        <v>218791.12500000003</v>
      </c>
      <c r="J10" s="74">
        <f t="shared" si="2"/>
        <v>229730.68125000005</v>
      </c>
      <c r="K10" s="74">
        <f t="shared" si="2"/>
        <v>241217.21531250008</v>
      </c>
    </row>
    <row r="11" spans="1:11">
      <c r="A11" s="73" t="s">
        <v>131</v>
      </c>
      <c r="B11" s="73" t="s">
        <v>381</v>
      </c>
      <c r="C11" s="73">
        <v>12</v>
      </c>
      <c r="D11" s="165">
        <v>2000</v>
      </c>
      <c r="E11" s="74">
        <f>$C11*$D11*E$4</f>
        <v>24000</v>
      </c>
      <c r="F11" s="74">
        <f t="shared" ref="F11:K15" si="3">$C11*$D11*F$4</f>
        <v>25200</v>
      </c>
      <c r="G11" s="74">
        <f t="shared" si="3"/>
        <v>26460</v>
      </c>
      <c r="H11" s="74">
        <f t="shared" si="3"/>
        <v>27783.000000000004</v>
      </c>
      <c r="I11" s="74">
        <f t="shared" si="3"/>
        <v>29172.150000000005</v>
      </c>
      <c r="J11" s="74">
        <f t="shared" si="3"/>
        <v>30630.757500000007</v>
      </c>
      <c r="K11" s="74">
        <f t="shared" si="3"/>
        <v>32162.295375000009</v>
      </c>
    </row>
    <row r="12" spans="1:11">
      <c r="A12" s="73" t="s">
        <v>10</v>
      </c>
      <c r="B12" s="73" t="s">
        <v>381</v>
      </c>
      <c r="C12" s="73">
        <v>12</v>
      </c>
      <c r="D12" s="165">
        <v>2000</v>
      </c>
      <c r="E12" s="74">
        <f t="shared" ref="E12:E15" si="4">$C12*$D12*E$4</f>
        <v>24000</v>
      </c>
      <c r="F12" s="74">
        <f t="shared" si="3"/>
        <v>25200</v>
      </c>
      <c r="G12" s="74">
        <f t="shared" si="3"/>
        <v>26460</v>
      </c>
      <c r="H12" s="74">
        <f t="shared" si="3"/>
        <v>27783.000000000004</v>
      </c>
      <c r="I12" s="74">
        <f t="shared" si="3"/>
        <v>29172.150000000005</v>
      </c>
      <c r="J12" s="74">
        <f t="shared" si="3"/>
        <v>30630.757500000007</v>
      </c>
      <c r="K12" s="74">
        <f t="shared" si="3"/>
        <v>32162.295375000009</v>
      </c>
    </row>
    <row r="13" spans="1:11">
      <c r="A13" s="73" t="s">
        <v>188</v>
      </c>
      <c r="B13" s="73" t="s">
        <v>381</v>
      </c>
      <c r="C13" s="73">
        <v>12</v>
      </c>
      <c r="D13" s="165">
        <v>2000</v>
      </c>
      <c r="E13" s="74">
        <f t="shared" si="4"/>
        <v>24000</v>
      </c>
      <c r="F13" s="74">
        <f t="shared" si="3"/>
        <v>25200</v>
      </c>
      <c r="G13" s="74">
        <f t="shared" si="3"/>
        <v>26460</v>
      </c>
      <c r="H13" s="74">
        <f t="shared" si="3"/>
        <v>27783.000000000004</v>
      </c>
      <c r="I13" s="74">
        <f t="shared" si="3"/>
        <v>29172.150000000005</v>
      </c>
      <c r="J13" s="74">
        <f t="shared" si="3"/>
        <v>30630.757500000007</v>
      </c>
      <c r="K13" s="74">
        <f t="shared" si="3"/>
        <v>32162.295375000009</v>
      </c>
    </row>
    <row r="14" spans="1:11">
      <c r="A14" s="73" t="s">
        <v>160</v>
      </c>
      <c r="B14" s="73" t="s">
        <v>381</v>
      </c>
      <c r="C14" s="73">
        <v>12</v>
      </c>
      <c r="D14" s="165">
        <v>2000</v>
      </c>
      <c r="E14" s="74">
        <f t="shared" si="4"/>
        <v>24000</v>
      </c>
      <c r="F14" s="74">
        <f t="shared" si="3"/>
        <v>25200</v>
      </c>
      <c r="G14" s="74">
        <f t="shared" si="3"/>
        <v>26460</v>
      </c>
      <c r="H14" s="74">
        <f t="shared" si="3"/>
        <v>27783.000000000004</v>
      </c>
      <c r="I14" s="74">
        <f t="shared" si="3"/>
        <v>29172.150000000005</v>
      </c>
      <c r="J14" s="74">
        <f t="shared" si="3"/>
        <v>30630.757500000007</v>
      </c>
      <c r="K14" s="74">
        <f t="shared" si="3"/>
        <v>32162.295375000009</v>
      </c>
    </row>
    <row r="15" spans="1:11">
      <c r="A15" s="73" t="s">
        <v>189</v>
      </c>
      <c r="B15" s="73" t="s">
        <v>381</v>
      </c>
      <c r="C15" s="73">
        <v>12</v>
      </c>
      <c r="D15" s="165">
        <v>2000</v>
      </c>
      <c r="E15" s="74">
        <f t="shared" si="4"/>
        <v>24000</v>
      </c>
      <c r="F15" s="74">
        <f t="shared" si="3"/>
        <v>25200</v>
      </c>
      <c r="G15" s="74">
        <f t="shared" si="3"/>
        <v>26460</v>
      </c>
      <c r="H15" s="74">
        <f t="shared" si="3"/>
        <v>27783.000000000004</v>
      </c>
      <c r="I15" s="74">
        <f t="shared" si="3"/>
        <v>29172.150000000005</v>
      </c>
      <c r="J15" s="74">
        <f t="shared" si="3"/>
        <v>30630.757500000007</v>
      </c>
      <c r="K15" s="74">
        <f t="shared" si="3"/>
        <v>32162.295375000009</v>
      </c>
    </row>
    <row r="16" spans="1:11">
      <c r="A16" s="73" t="s">
        <v>190</v>
      </c>
      <c r="B16" s="73" t="s">
        <v>382</v>
      </c>
      <c r="C16" s="73">
        <v>1</v>
      </c>
      <c r="D16" s="165">
        <v>50000</v>
      </c>
      <c r="E16" s="74">
        <f>$D16*E$4*$C16</f>
        <v>50000</v>
      </c>
      <c r="F16" s="74">
        <f t="shared" ref="F16:K22" si="5">$D16*F$4*$C16</f>
        <v>52500</v>
      </c>
      <c r="G16" s="74">
        <f t="shared" si="5"/>
        <v>55125</v>
      </c>
      <c r="H16" s="74">
        <f t="shared" si="5"/>
        <v>57881.250000000007</v>
      </c>
      <c r="I16" s="74">
        <f t="shared" si="5"/>
        <v>60775.312500000015</v>
      </c>
      <c r="J16" s="74">
        <f t="shared" si="5"/>
        <v>63814.078125000015</v>
      </c>
      <c r="K16" s="74">
        <f t="shared" si="5"/>
        <v>67004.782031250026</v>
      </c>
    </row>
    <row r="17" spans="1:17">
      <c r="A17" s="73"/>
      <c r="B17" s="73"/>
      <c r="C17" s="73"/>
      <c r="D17" s="165"/>
      <c r="E17" s="74">
        <f t="shared" ref="E17:E22" si="6">$D17*E$4*$C17</f>
        <v>0</v>
      </c>
      <c r="F17" s="74">
        <f t="shared" si="5"/>
        <v>0</v>
      </c>
      <c r="G17" s="74">
        <f t="shared" si="5"/>
        <v>0</v>
      </c>
      <c r="H17" s="74">
        <f t="shared" si="5"/>
        <v>0</v>
      </c>
      <c r="I17" s="74">
        <f t="shared" si="5"/>
        <v>0</v>
      </c>
      <c r="J17" s="74">
        <f t="shared" si="5"/>
        <v>0</v>
      </c>
      <c r="K17" s="74">
        <f t="shared" si="5"/>
        <v>0</v>
      </c>
    </row>
    <row r="18" spans="1:17">
      <c r="A18" s="73"/>
      <c r="B18" s="73"/>
      <c r="C18" s="73"/>
      <c r="D18" s="165"/>
      <c r="E18" s="74">
        <f t="shared" si="6"/>
        <v>0</v>
      </c>
      <c r="F18" s="74">
        <f t="shared" si="5"/>
        <v>0</v>
      </c>
      <c r="G18" s="74">
        <f t="shared" si="5"/>
        <v>0</v>
      </c>
      <c r="H18" s="74">
        <f t="shared" si="5"/>
        <v>0</v>
      </c>
      <c r="I18" s="74">
        <f t="shared" si="5"/>
        <v>0</v>
      </c>
      <c r="J18" s="74">
        <f t="shared" si="5"/>
        <v>0</v>
      </c>
      <c r="K18" s="74">
        <f t="shared" si="5"/>
        <v>0</v>
      </c>
    </row>
    <row r="19" spans="1:17">
      <c r="A19" s="73"/>
      <c r="B19" s="73"/>
      <c r="C19" s="73"/>
      <c r="D19" s="165"/>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165"/>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165"/>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165"/>
      <c r="E22" s="74">
        <f t="shared" si="6"/>
        <v>0</v>
      </c>
      <c r="F22" s="74">
        <f t="shared" si="5"/>
        <v>0</v>
      </c>
      <c r="G22" s="74">
        <f t="shared" si="5"/>
        <v>0</v>
      </c>
      <c r="H22" s="74">
        <f t="shared" si="5"/>
        <v>0</v>
      </c>
      <c r="I22" s="74">
        <f t="shared" si="5"/>
        <v>0</v>
      </c>
      <c r="J22" s="74">
        <f t="shared" si="5"/>
        <v>0</v>
      </c>
      <c r="K22" s="74">
        <f t="shared" si="5"/>
        <v>0</v>
      </c>
    </row>
    <row r="23" spans="1:17">
      <c r="A23" s="75" t="s">
        <v>132</v>
      </c>
      <c r="B23" s="75"/>
      <c r="C23" s="75"/>
      <c r="D23" s="367"/>
      <c r="E23" s="91">
        <f t="shared" ref="E23:K23" si="7">SUM(E8:E22)</f>
        <v>494000</v>
      </c>
      <c r="F23" s="91">
        <f t="shared" si="7"/>
        <v>518700</v>
      </c>
      <c r="G23" s="91">
        <f t="shared" si="7"/>
        <v>544635</v>
      </c>
      <c r="H23" s="91">
        <f t="shared" si="7"/>
        <v>571866.75000000012</v>
      </c>
      <c r="I23" s="91">
        <f t="shared" si="7"/>
        <v>600460.08750000014</v>
      </c>
      <c r="J23" s="91">
        <f t="shared" si="7"/>
        <v>630483.09187500016</v>
      </c>
      <c r="K23" s="91">
        <f t="shared" si="7"/>
        <v>662007.24646875018</v>
      </c>
    </row>
    <row r="25" spans="1:17">
      <c r="A25" s="5" t="s">
        <v>705</v>
      </c>
    </row>
    <row r="28" spans="1:17">
      <c r="A28" s="424"/>
      <c r="B28" s="424"/>
      <c r="C28" s="424"/>
      <c r="D28" s="424"/>
      <c r="E28" s="424"/>
      <c r="F28" s="424"/>
      <c r="G28" s="424"/>
      <c r="H28" s="424"/>
      <c r="I28" s="424"/>
      <c r="J28" s="424"/>
      <c r="K28" s="424"/>
      <c r="L28" s="424"/>
      <c r="M28" s="424"/>
      <c r="N28" s="424"/>
      <c r="O28" s="424"/>
    </row>
    <row r="29" spans="1:17" ht="17.5">
      <c r="A29" s="422" t="s">
        <v>550</v>
      </c>
      <c r="B29" s="422"/>
      <c r="C29" s="422"/>
      <c r="D29" s="422"/>
      <c r="E29" s="422"/>
      <c r="F29" s="422"/>
      <c r="G29" s="422"/>
      <c r="H29" s="422"/>
      <c r="I29" s="422"/>
      <c r="J29" s="422"/>
      <c r="K29" s="422"/>
      <c r="L29" s="422"/>
      <c r="M29" s="422"/>
      <c r="N29" s="422"/>
      <c r="O29" s="422"/>
      <c r="P29" s="422"/>
      <c r="Q29" s="422"/>
    </row>
    <row r="30" spans="1:17">
      <c r="A30" s="125"/>
      <c r="B30" s="125"/>
      <c r="C30" s="125"/>
      <c r="D30" s="125"/>
      <c r="E30" s="125"/>
      <c r="F30" s="125"/>
      <c r="G30" s="125"/>
      <c r="H30" s="125"/>
      <c r="I30" s="125"/>
      <c r="J30" s="125"/>
      <c r="K30" s="125"/>
      <c r="L30" s="125"/>
      <c r="M30" s="125"/>
      <c r="N30" s="125"/>
      <c r="O30" s="125"/>
    </row>
    <row r="31" spans="1:17">
      <c r="A31" s="72"/>
      <c r="B31" s="72"/>
      <c r="C31" s="425" t="s">
        <v>193</v>
      </c>
      <c r="D31" s="425"/>
      <c r="E31" s="425"/>
      <c r="F31" s="425"/>
      <c r="G31" s="425"/>
      <c r="H31" s="425"/>
      <c r="I31" s="425"/>
      <c r="J31" s="72"/>
      <c r="K31" s="426" t="s">
        <v>194</v>
      </c>
      <c r="L31" s="426"/>
      <c r="M31" s="426"/>
      <c r="N31" s="426"/>
      <c r="O31" s="426"/>
      <c r="P31" s="426"/>
      <c r="Q31" s="426"/>
    </row>
    <row r="32" spans="1:17">
      <c r="A32" s="144" t="s">
        <v>0</v>
      </c>
      <c r="B32" s="138"/>
      <c r="C32" s="49" t="s">
        <v>2</v>
      </c>
      <c r="D32" s="49" t="s">
        <v>3</v>
      </c>
      <c r="E32" s="49" t="s">
        <v>4</v>
      </c>
      <c r="F32" s="49" t="s">
        <v>5</v>
      </c>
      <c r="G32" s="49" t="s">
        <v>6</v>
      </c>
      <c r="H32" s="49" t="s">
        <v>169</v>
      </c>
      <c r="I32" s="49" t="s">
        <v>168</v>
      </c>
      <c r="J32" s="145"/>
      <c r="K32" s="49" t="s">
        <v>2</v>
      </c>
      <c r="L32" s="49" t="s">
        <v>3</v>
      </c>
      <c r="M32" s="49" t="s">
        <v>4</v>
      </c>
      <c r="N32" s="49" t="s">
        <v>5</v>
      </c>
      <c r="O32" s="49" t="s">
        <v>6</v>
      </c>
      <c r="P32" s="49" t="s">
        <v>169</v>
      </c>
      <c r="Q32" s="49" t="s">
        <v>168</v>
      </c>
    </row>
    <row r="33" spans="1:17">
      <c r="A33" s="139" t="s">
        <v>195</v>
      </c>
      <c r="B33" s="73"/>
      <c r="C33" s="73"/>
      <c r="D33" s="73"/>
      <c r="E33" s="73"/>
      <c r="F33" s="73"/>
      <c r="G33" s="140"/>
      <c r="H33" s="140"/>
      <c r="I33" s="140"/>
      <c r="J33" s="73"/>
      <c r="K33" s="73"/>
      <c r="L33" s="73"/>
      <c r="M33" s="73"/>
      <c r="N33" s="73"/>
      <c r="O33" s="140"/>
      <c r="P33" s="140"/>
      <c r="Q33" s="140"/>
    </row>
    <row r="34" spans="1:17">
      <c r="A34" s="139"/>
      <c r="B34" s="73"/>
      <c r="C34" s="73"/>
      <c r="D34" s="73"/>
      <c r="E34" s="73"/>
      <c r="F34" s="73"/>
      <c r="G34" s="140"/>
      <c r="H34" s="140"/>
      <c r="I34" s="140"/>
      <c r="J34" s="73"/>
      <c r="K34" s="73"/>
      <c r="L34" s="73"/>
      <c r="M34" s="73"/>
      <c r="N34" s="73"/>
      <c r="O34" s="140"/>
      <c r="P34" s="140"/>
      <c r="Q34" s="140"/>
    </row>
    <row r="35" spans="1:17">
      <c r="A35" s="141"/>
      <c r="B35" s="141"/>
      <c r="C35" s="73"/>
      <c r="D35" s="73"/>
      <c r="E35" s="73"/>
      <c r="F35" s="73"/>
      <c r="G35" s="73"/>
      <c r="H35" s="73"/>
      <c r="I35" s="73"/>
      <c r="J35" s="73"/>
      <c r="K35" s="73"/>
      <c r="L35" s="73"/>
      <c r="M35" s="73"/>
      <c r="N35" s="73"/>
      <c r="O35" s="73"/>
      <c r="P35" s="73"/>
      <c r="Q35" s="73"/>
    </row>
    <row r="36" spans="1:17">
      <c r="A36" s="142" t="s">
        <v>199</v>
      </c>
      <c r="B36" s="142"/>
      <c r="C36" s="73"/>
      <c r="D36" s="73"/>
      <c r="E36" s="73"/>
      <c r="F36" s="73"/>
      <c r="G36" s="73"/>
      <c r="H36" s="73"/>
      <c r="I36" s="73"/>
      <c r="J36" s="73"/>
      <c r="K36" s="73"/>
      <c r="L36" s="73"/>
      <c r="M36" s="73"/>
      <c r="N36" s="73"/>
      <c r="O36" s="73"/>
      <c r="P36" s="73"/>
      <c r="Q36" s="73"/>
    </row>
    <row r="37" spans="1:17">
      <c r="A37" s="141" t="s">
        <v>196</v>
      </c>
      <c r="B37" s="141"/>
      <c r="C37" s="143">
        <f>'1.Project Cost and MOF'!D5</f>
        <v>13467463</v>
      </c>
      <c r="D37" s="143">
        <f t="shared" ref="D37:I37" si="8">C40</f>
        <v>13040544.422900001</v>
      </c>
      <c r="E37" s="143">
        <f t="shared" si="8"/>
        <v>12613625.845800001</v>
      </c>
      <c r="F37" s="143">
        <f t="shared" si="8"/>
        <v>12186707.268700002</v>
      </c>
      <c r="G37" s="143">
        <f t="shared" si="8"/>
        <v>11759788.691600002</v>
      </c>
      <c r="H37" s="143">
        <f t="shared" si="8"/>
        <v>11332870.114500003</v>
      </c>
      <c r="I37" s="143">
        <f t="shared" si="8"/>
        <v>10905951.537400004</v>
      </c>
      <c r="J37" s="73"/>
      <c r="K37" s="143">
        <f>C37</f>
        <v>13467463</v>
      </c>
      <c r="L37" s="143">
        <f t="shared" ref="L37:Q37" si="9">K40</f>
        <v>12120716.699999999</v>
      </c>
      <c r="M37" s="143">
        <f t="shared" si="9"/>
        <v>10908645.029999999</v>
      </c>
      <c r="N37" s="143">
        <f t="shared" si="9"/>
        <v>9817780.5269999988</v>
      </c>
      <c r="O37" s="143">
        <f t="shared" si="9"/>
        <v>8836002.474299999</v>
      </c>
      <c r="P37" s="143">
        <f t="shared" si="9"/>
        <v>7952402.2268699985</v>
      </c>
      <c r="Q37" s="143">
        <f t="shared" si="9"/>
        <v>7157162.0041829981</v>
      </c>
    </row>
    <row r="38" spans="1:17">
      <c r="A38" s="141" t="s">
        <v>17</v>
      </c>
      <c r="B38" s="141"/>
      <c r="C38" s="143">
        <f t="shared" ref="C38:I38" si="10">$C$37*$B$74</f>
        <v>426918.57709999999</v>
      </c>
      <c r="D38" s="143">
        <f t="shared" si="10"/>
        <v>426918.57709999999</v>
      </c>
      <c r="E38" s="143">
        <f t="shared" si="10"/>
        <v>426918.57709999999</v>
      </c>
      <c r="F38" s="143">
        <f t="shared" si="10"/>
        <v>426918.57709999999</v>
      </c>
      <c r="G38" s="143">
        <f t="shared" si="10"/>
        <v>426918.57709999999</v>
      </c>
      <c r="H38" s="143">
        <f t="shared" si="10"/>
        <v>426918.57709999999</v>
      </c>
      <c r="I38" s="143">
        <f t="shared" si="10"/>
        <v>426918.57709999999</v>
      </c>
      <c r="J38" s="73"/>
      <c r="K38" s="143">
        <f t="shared" ref="K38:Q38" si="11">K37*$C$74</f>
        <v>1346746.3</v>
      </c>
      <c r="L38" s="143">
        <f t="shared" si="11"/>
        <v>1212071.67</v>
      </c>
      <c r="M38" s="143">
        <f t="shared" si="11"/>
        <v>1090864.503</v>
      </c>
      <c r="N38" s="143">
        <f t="shared" si="11"/>
        <v>981778.05269999988</v>
      </c>
      <c r="O38" s="143">
        <f t="shared" si="11"/>
        <v>883600.24742999999</v>
      </c>
      <c r="P38" s="143">
        <f t="shared" si="11"/>
        <v>795240.22268699994</v>
      </c>
      <c r="Q38" s="143">
        <f t="shared" si="11"/>
        <v>715716.20041829988</v>
      </c>
    </row>
    <row r="39" spans="1:17">
      <c r="A39" s="141" t="s">
        <v>197</v>
      </c>
      <c r="B39" s="141"/>
      <c r="C39" s="143">
        <f>C38</f>
        <v>426918.57709999999</v>
      </c>
      <c r="D39" s="143">
        <f t="shared" ref="D39:I39" si="12">C39+D38</f>
        <v>853837.15419999999</v>
      </c>
      <c r="E39" s="143">
        <f t="shared" si="12"/>
        <v>1280755.7313000001</v>
      </c>
      <c r="F39" s="143">
        <f t="shared" si="12"/>
        <v>1707674.3084</v>
      </c>
      <c r="G39" s="143">
        <f t="shared" si="12"/>
        <v>2134592.8854999999</v>
      </c>
      <c r="H39" s="143">
        <f t="shared" si="12"/>
        <v>2561511.4625999997</v>
      </c>
      <c r="I39" s="143">
        <f t="shared" si="12"/>
        <v>2988430.0396999996</v>
      </c>
      <c r="J39" s="73"/>
      <c r="K39" s="143">
        <f>K38</f>
        <v>1346746.3</v>
      </c>
      <c r="L39" s="143">
        <f t="shared" ref="L39:Q39" si="13">K39+L38</f>
        <v>2558817.9699999997</v>
      </c>
      <c r="M39" s="143">
        <f t="shared" si="13"/>
        <v>3649682.4729999998</v>
      </c>
      <c r="N39" s="143">
        <f t="shared" si="13"/>
        <v>4631460.5256999992</v>
      </c>
      <c r="O39" s="143">
        <f t="shared" si="13"/>
        <v>5515060.7731299996</v>
      </c>
      <c r="P39" s="143">
        <f t="shared" si="13"/>
        <v>6310300.995817</v>
      </c>
      <c r="Q39" s="143">
        <f t="shared" si="13"/>
        <v>7026017.1962353</v>
      </c>
    </row>
    <row r="40" spans="1:17">
      <c r="A40" s="141" t="s">
        <v>198</v>
      </c>
      <c r="B40" s="141"/>
      <c r="C40" s="143">
        <f t="shared" ref="C40:I40" si="14">C37-C38</f>
        <v>13040544.422900001</v>
      </c>
      <c r="D40" s="143">
        <f t="shared" si="14"/>
        <v>12613625.845800001</v>
      </c>
      <c r="E40" s="143">
        <f t="shared" si="14"/>
        <v>12186707.268700002</v>
      </c>
      <c r="F40" s="143">
        <f t="shared" si="14"/>
        <v>11759788.691600002</v>
      </c>
      <c r="G40" s="143">
        <f t="shared" si="14"/>
        <v>11332870.114500003</v>
      </c>
      <c r="H40" s="143">
        <f t="shared" si="14"/>
        <v>10905951.537400004</v>
      </c>
      <c r="I40" s="143">
        <f t="shared" si="14"/>
        <v>10479032.960300004</v>
      </c>
      <c r="J40" s="73"/>
      <c r="K40" s="143">
        <f t="shared" ref="K40:Q40" si="15">K37-K38</f>
        <v>12120716.699999999</v>
      </c>
      <c r="L40" s="143">
        <f t="shared" si="15"/>
        <v>10908645.029999999</v>
      </c>
      <c r="M40" s="143">
        <f t="shared" si="15"/>
        <v>9817780.5269999988</v>
      </c>
      <c r="N40" s="143">
        <f t="shared" si="15"/>
        <v>8836002.474299999</v>
      </c>
      <c r="O40" s="143">
        <f t="shared" si="15"/>
        <v>7952402.2268699985</v>
      </c>
      <c r="P40" s="143">
        <f t="shared" si="15"/>
        <v>7157162.0041829981</v>
      </c>
      <c r="Q40" s="143">
        <f t="shared" si="15"/>
        <v>6441445.8037646981</v>
      </c>
    </row>
    <row r="41" spans="1:17">
      <c r="A41" s="141"/>
      <c r="B41" s="141"/>
      <c r="C41" s="143"/>
      <c r="D41" s="143"/>
      <c r="E41" s="143"/>
      <c r="F41" s="143"/>
      <c r="G41" s="143"/>
      <c r="H41" s="143"/>
      <c r="I41" s="143"/>
      <c r="J41" s="73"/>
      <c r="K41" s="143"/>
      <c r="L41" s="143"/>
      <c r="M41" s="143"/>
      <c r="N41" s="143"/>
      <c r="O41" s="143"/>
      <c r="P41" s="143"/>
      <c r="Q41" s="143"/>
    </row>
    <row r="42" spans="1:17">
      <c r="A42" s="142" t="s">
        <v>200</v>
      </c>
      <c r="B42" s="142"/>
      <c r="C42" s="143"/>
      <c r="D42" s="143"/>
      <c r="E42" s="143"/>
      <c r="F42" s="143"/>
      <c r="G42" s="143"/>
      <c r="H42" s="143"/>
      <c r="I42" s="143"/>
      <c r="J42" s="73"/>
      <c r="K42" s="143"/>
      <c r="L42" s="143"/>
      <c r="M42" s="143"/>
      <c r="N42" s="143"/>
      <c r="O42" s="143"/>
      <c r="P42" s="143"/>
      <c r="Q42" s="143"/>
    </row>
    <row r="43" spans="1:17">
      <c r="A43" s="141" t="s">
        <v>196</v>
      </c>
      <c r="B43" s="141"/>
      <c r="C43" s="143">
        <f>'1.Project Cost and MOF'!D6</f>
        <v>1005863.6</v>
      </c>
      <c r="D43" s="143">
        <f t="shared" ref="D43:I43" si="16">C46</f>
        <v>942192.43411999999</v>
      </c>
      <c r="E43" s="143">
        <f t="shared" si="16"/>
        <v>878521.26824</v>
      </c>
      <c r="F43" s="143">
        <f t="shared" si="16"/>
        <v>814850.10236000002</v>
      </c>
      <c r="G43" s="143">
        <f t="shared" si="16"/>
        <v>751178.93648000003</v>
      </c>
      <c r="H43" s="143">
        <f t="shared" si="16"/>
        <v>687507.77060000005</v>
      </c>
      <c r="I43" s="143">
        <f t="shared" si="16"/>
        <v>623836.60472000006</v>
      </c>
      <c r="J43" s="73"/>
      <c r="K43" s="143">
        <f>C43</f>
        <v>1005863.6</v>
      </c>
      <c r="L43" s="143">
        <f t="shared" ref="L43:Q43" si="17">K46</f>
        <v>854984.06</v>
      </c>
      <c r="M43" s="143">
        <f t="shared" si="17"/>
        <v>726736.45100000012</v>
      </c>
      <c r="N43" s="143">
        <f t="shared" si="17"/>
        <v>617725.98335000011</v>
      </c>
      <c r="O43" s="143">
        <f t="shared" si="17"/>
        <v>525067.08584750013</v>
      </c>
      <c r="P43" s="143">
        <f t="shared" si="17"/>
        <v>446307.02297037514</v>
      </c>
      <c r="Q43" s="143">
        <f t="shared" si="17"/>
        <v>379360.96952481888</v>
      </c>
    </row>
    <row r="44" spans="1:17">
      <c r="A44" s="141" t="s">
        <v>17</v>
      </c>
      <c r="B44" s="141"/>
      <c r="C44" s="143">
        <f t="shared" ref="C44:I44" si="18">$C$43*$B$78</f>
        <v>63671.165879999993</v>
      </c>
      <c r="D44" s="143">
        <f t="shared" si="18"/>
        <v>63671.165879999993</v>
      </c>
      <c r="E44" s="143">
        <f t="shared" si="18"/>
        <v>63671.165879999993</v>
      </c>
      <c r="F44" s="143">
        <f t="shared" si="18"/>
        <v>63671.165879999993</v>
      </c>
      <c r="G44" s="143">
        <f t="shared" si="18"/>
        <v>63671.165879999993</v>
      </c>
      <c r="H44" s="143">
        <f t="shared" si="18"/>
        <v>63671.165879999993</v>
      </c>
      <c r="I44" s="143">
        <f t="shared" si="18"/>
        <v>63671.165879999993</v>
      </c>
      <c r="J44" s="73"/>
      <c r="K44" s="143">
        <f t="shared" ref="K44:Q44" si="19">K43*$C$78</f>
        <v>150879.53999999998</v>
      </c>
      <c r="L44" s="143">
        <f t="shared" si="19"/>
        <v>128247.609</v>
      </c>
      <c r="M44" s="143">
        <f t="shared" si="19"/>
        <v>109010.46765000002</v>
      </c>
      <c r="N44" s="143">
        <f t="shared" si="19"/>
        <v>92658.897502500011</v>
      </c>
      <c r="O44" s="143">
        <f t="shared" si="19"/>
        <v>78760.062877125019</v>
      </c>
      <c r="P44" s="143">
        <f t="shared" si="19"/>
        <v>66946.053445556274</v>
      </c>
      <c r="Q44" s="143">
        <f t="shared" si="19"/>
        <v>56904.145428722833</v>
      </c>
    </row>
    <row r="45" spans="1:17">
      <c r="A45" s="141" t="s">
        <v>197</v>
      </c>
      <c r="B45" s="141"/>
      <c r="C45" s="143">
        <f>C44</f>
        <v>63671.165879999993</v>
      </c>
      <c r="D45" s="143">
        <f t="shared" ref="D45:I45" si="20">C45+D44</f>
        <v>127342.33175999999</v>
      </c>
      <c r="E45" s="143">
        <f t="shared" si="20"/>
        <v>191013.49763999999</v>
      </c>
      <c r="F45" s="143">
        <f t="shared" si="20"/>
        <v>254684.66351999997</v>
      </c>
      <c r="G45" s="143">
        <f t="shared" si="20"/>
        <v>318355.82939999999</v>
      </c>
      <c r="H45" s="143">
        <f t="shared" si="20"/>
        <v>382026.99527999997</v>
      </c>
      <c r="I45" s="143">
        <f t="shared" si="20"/>
        <v>445698.16115999996</v>
      </c>
      <c r="J45" s="73"/>
      <c r="K45" s="143">
        <f>K44</f>
        <v>150879.53999999998</v>
      </c>
      <c r="L45" s="143">
        <f t="shared" ref="L45:Q45" si="21">K45+L44</f>
        <v>279127.14899999998</v>
      </c>
      <c r="M45" s="143">
        <f t="shared" si="21"/>
        <v>388137.61664999998</v>
      </c>
      <c r="N45" s="143">
        <f t="shared" si="21"/>
        <v>480796.51415249996</v>
      </c>
      <c r="O45" s="143">
        <f t="shared" si="21"/>
        <v>559556.57702962495</v>
      </c>
      <c r="P45" s="143">
        <f t="shared" si="21"/>
        <v>626502.63047518127</v>
      </c>
      <c r="Q45" s="143">
        <f t="shared" si="21"/>
        <v>683406.77590390411</v>
      </c>
    </row>
    <row r="46" spans="1:17">
      <c r="A46" s="141" t="s">
        <v>198</v>
      </c>
      <c r="B46" s="141"/>
      <c r="C46" s="143">
        <f t="shared" ref="C46:I46" si="22">C43-C44</f>
        <v>942192.43411999999</v>
      </c>
      <c r="D46" s="143">
        <f t="shared" si="22"/>
        <v>878521.26824</v>
      </c>
      <c r="E46" s="143">
        <f t="shared" si="22"/>
        <v>814850.10236000002</v>
      </c>
      <c r="F46" s="143">
        <f t="shared" si="22"/>
        <v>751178.93648000003</v>
      </c>
      <c r="G46" s="143">
        <f t="shared" si="22"/>
        <v>687507.77060000005</v>
      </c>
      <c r="H46" s="143">
        <f t="shared" si="22"/>
        <v>623836.60472000006</v>
      </c>
      <c r="I46" s="143">
        <f t="shared" si="22"/>
        <v>560165.43884000008</v>
      </c>
      <c r="J46" s="73"/>
      <c r="K46" s="143">
        <f t="shared" ref="K46:Q46" si="23">K43-K44</f>
        <v>854984.06</v>
      </c>
      <c r="L46" s="143">
        <f t="shared" si="23"/>
        <v>726736.45100000012</v>
      </c>
      <c r="M46" s="143">
        <f t="shared" si="23"/>
        <v>617725.98335000011</v>
      </c>
      <c r="N46" s="143">
        <f t="shared" si="23"/>
        <v>525067.08584750013</v>
      </c>
      <c r="O46" s="143">
        <f t="shared" si="23"/>
        <v>446307.02297037514</v>
      </c>
      <c r="P46" s="143">
        <f t="shared" si="23"/>
        <v>379360.96952481888</v>
      </c>
      <c r="Q46" s="143">
        <f t="shared" si="23"/>
        <v>322456.82409609604</v>
      </c>
    </row>
    <row r="47" spans="1:17">
      <c r="A47" s="141"/>
      <c r="B47" s="141"/>
      <c r="C47" s="143"/>
      <c r="D47" s="143"/>
      <c r="E47" s="143"/>
      <c r="F47" s="143"/>
      <c r="G47" s="143"/>
      <c r="H47" s="143"/>
      <c r="I47" s="143"/>
      <c r="J47" s="73"/>
      <c r="K47" s="143"/>
      <c r="L47" s="143"/>
      <c r="M47" s="143"/>
      <c r="N47" s="143"/>
      <c r="O47" s="143"/>
      <c r="P47" s="143"/>
      <c r="Q47" s="143"/>
    </row>
    <row r="48" spans="1:17">
      <c r="A48" s="142" t="s">
        <v>201</v>
      </c>
      <c r="B48" s="142"/>
      <c r="C48" s="143"/>
      <c r="D48" s="143"/>
      <c r="E48" s="143"/>
      <c r="F48" s="143"/>
      <c r="G48" s="143"/>
      <c r="H48" s="143"/>
      <c r="I48" s="143"/>
      <c r="J48" s="73"/>
      <c r="K48" s="143"/>
      <c r="L48" s="143"/>
      <c r="M48" s="143"/>
      <c r="N48" s="143"/>
      <c r="O48" s="143"/>
      <c r="P48" s="143"/>
      <c r="Q48" s="143"/>
    </row>
    <row r="49" spans="1:17">
      <c r="A49" s="141" t="s">
        <v>196</v>
      </c>
      <c r="B49" s="141"/>
      <c r="C49" s="143">
        <f>'1.Project Cost and MOF'!D7</f>
        <v>291640</v>
      </c>
      <c r="D49" s="143">
        <f t="shared" ref="D49:I49" si="24">C52</f>
        <v>262476</v>
      </c>
      <c r="E49" s="143">
        <f t="shared" si="24"/>
        <v>233312</v>
      </c>
      <c r="F49" s="143">
        <f t="shared" si="24"/>
        <v>204148</v>
      </c>
      <c r="G49" s="143">
        <f t="shared" si="24"/>
        <v>174984</v>
      </c>
      <c r="H49" s="143">
        <f t="shared" si="24"/>
        <v>145820</v>
      </c>
      <c r="I49" s="143">
        <f t="shared" si="24"/>
        <v>116656</v>
      </c>
      <c r="J49" s="73"/>
      <c r="K49" s="143">
        <f>C49</f>
        <v>291640</v>
      </c>
      <c r="L49" s="143">
        <f t="shared" ref="L49:Q49" si="25">K52</f>
        <v>262476</v>
      </c>
      <c r="M49" s="143">
        <f t="shared" si="25"/>
        <v>236228.4</v>
      </c>
      <c r="N49" s="143">
        <f t="shared" si="25"/>
        <v>212605.56</v>
      </c>
      <c r="O49" s="143">
        <f t="shared" si="25"/>
        <v>191345.00399999999</v>
      </c>
      <c r="P49" s="143">
        <f t="shared" si="25"/>
        <v>172210.5036</v>
      </c>
      <c r="Q49" s="143">
        <f t="shared" si="25"/>
        <v>154989.45324</v>
      </c>
    </row>
    <row r="50" spans="1:17">
      <c r="A50" s="141" t="s">
        <v>17</v>
      </c>
      <c r="B50" s="141"/>
      <c r="C50" s="143">
        <f t="shared" ref="C50:I50" si="26">$C$49*$B$75</f>
        <v>29164</v>
      </c>
      <c r="D50" s="143">
        <f t="shared" si="26"/>
        <v>29164</v>
      </c>
      <c r="E50" s="143">
        <f t="shared" si="26"/>
        <v>29164</v>
      </c>
      <c r="F50" s="143">
        <f t="shared" si="26"/>
        <v>29164</v>
      </c>
      <c r="G50" s="143">
        <f t="shared" si="26"/>
        <v>29164</v>
      </c>
      <c r="H50" s="143">
        <f t="shared" si="26"/>
        <v>29164</v>
      </c>
      <c r="I50" s="143">
        <f t="shared" si="26"/>
        <v>29164</v>
      </c>
      <c r="J50" s="73"/>
      <c r="K50" s="143">
        <f t="shared" ref="K50:Q50" si="27">K49*$C$75</f>
        <v>29164</v>
      </c>
      <c r="L50" s="143">
        <f t="shared" si="27"/>
        <v>26247.600000000002</v>
      </c>
      <c r="M50" s="143">
        <f t="shared" si="27"/>
        <v>23622.84</v>
      </c>
      <c r="N50" s="143">
        <f t="shared" si="27"/>
        <v>21260.556</v>
      </c>
      <c r="O50" s="143">
        <f t="shared" si="27"/>
        <v>19134.500400000001</v>
      </c>
      <c r="P50" s="143">
        <f t="shared" si="27"/>
        <v>17221.050360000001</v>
      </c>
      <c r="Q50" s="143">
        <f t="shared" si="27"/>
        <v>15498.945324</v>
      </c>
    </row>
    <row r="51" spans="1:17">
      <c r="A51" s="141" t="s">
        <v>197</v>
      </c>
      <c r="B51" s="141"/>
      <c r="C51" s="143">
        <f>C50</f>
        <v>29164</v>
      </c>
      <c r="D51" s="143">
        <f t="shared" ref="D51:I51" si="28">C51+D50</f>
        <v>58328</v>
      </c>
      <c r="E51" s="143">
        <f t="shared" si="28"/>
        <v>87492</v>
      </c>
      <c r="F51" s="143">
        <f t="shared" si="28"/>
        <v>116656</v>
      </c>
      <c r="G51" s="143">
        <f t="shared" si="28"/>
        <v>145820</v>
      </c>
      <c r="H51" s="143">
        <f t="shared" si="28"/>
        <v>174984</v>
      </c>
      <c r="I51" s="143">
        <f t="shared" si="28"/>
        <v>204148</v>
      </c>
      <c r="J51" s="73"/>
      <c r="K51" s="143">
        <f>K50</f>
        <v>29164</v>
      </c>
      <c r="L51" s="143">
        <f t="shared" ref="L51:Q51" si="29">K51+L50</f>
        <v>55411.600000000006</v>
      </c>
      <c r="M51" s="143">
        <f t="shared" si="29"/>
        <v>79034.44</v>
      </c>
      <c r="N51" s="143">
        <f t="shared" si="29"/>
        <v>100294.996</v>
      </c>
      <c r="O51" s="143">
        <f t="shared" si="29"/>
        <v>119429.4964</v>
      </c>
      <c r="P51" s="143">
        <f t="shared" si="29"/>
        <v>136650.54676</v>
      </c>
      <c r="Q51" s="143">
        <f t="shared" si="29"/>
        <v>152149.492084</v>
      </c>
    </row>
    <row r="52" spans="1:17">
      <c r="A52" s="141" t="s">
        <v>198</v>
      </c>
      <c r="B52" s="141"/>
      <c r="C52" s="143">
        <f t="shared" ref="C52:I52" si="30">C49-C50</f>
        <v>262476</v>
      </c>
      <c r="D52" s="143">
        <f t="shared" si="30"/>
        <v>233312</v>
      </c>
      <c r="E52" s="143">
        <f t="shared" si="30"/>
        <v>204148</v>
      </c>
      <c r="F52" s="143">
        <f t="shared" si="30"/>
        <v>174984</v>
      </c>
      <c r="G52" s="143">
        <f t="shared" si="30"/>
        <v>145820</v>
      </c>
      <c r="H52" s="143">
        <f t="shared" si="30"/>
        <v>116656</v>
      </c>
      <c r="I52" s="143">
        <f t="shared" si="30"/>
        <v>87492</v>
      </c>
      <c r="J52" s="73"/>
      <c r="K52" s="143">
        <f t="shared" ref="K52:Q52" si="31">K49-K50</f>
        <v>262476</v>
      </c>
      <c r="L52" s="143">
        <f t="shared" si="31"/>
        <v>236228.4</v>
      </c>
      <c r="M52" s="143">
        <f t="shared" si="31"/>
        <v>212605.56</v>
      </c>
      <c r="N52" s="143">
        <f t="shared" si="31"/>
        <v>191345.00399999999</v>
      </c>
      <c r="O52" s="143">
        <f t="shared" si="31"/>
        <v>172210.5036</v>
      </c>
      <c r="P52" s="143">
        <f t="shared" si="31"/>
        <v>154989.45324</v>
      </c>
      <c r="Q52" s="143">
        <f t="shared" si="31"/>
        <v>139490.507916</v>
      </c>
    </row>
    <row r="53" spans="1:17">
      <c r="A53" s="141"/>
      <c r="B53" s="141"/>
      <c r="C53" s="143"/>
      <c r="D53" s="143"/>
      <c r="E53" s="143"/>
      <c r="F53" s="143"/>
      <c r="G53" s="143"/>
      <c r="H53" s="143"/>
      <c r="I53" s="143"/>
      <c r="J53" s="73"/>
      <c r="K53" s="143"/>
      <c r="L53" s="143"/>
      <c r="M53" s="143"/>
      <c r="N53" s="143"/>
      <c r="O53" s="143"/>
      <c r="P53" s="143"/>
      <c r="Q53" s="143"/>
    </row>
    <row r="54" spans="1:17">
      <c r="A54" s="142" t="s">
        <v>159</v>
      </c>
      <c r="B54" s="142"/>
      <c r="C54" s="143"/>
      <c r="D54" s="143"/>
      <c r="E54" s="143"/>
      <c r="F54" s="143"/>
      <c r="G54" s="143"/>
      <c r="H54" s="143"/>
      <c r="I54" s="143"/>
      <c r="J54" s="73"/>
      <c r="K54" s="143"/>
      <c r="L54" s="143"/>
      <c r="M54" s="143"/>
      <c r="N54" s="143"/>
      <c r="O54" s="143"/>
      <c r="P54" s="143"/>
      <c r="Q54" s="143"/>
    </row>
    <row r="55" spans="1:17">
      <c r="A55" s="141" t="s">
        <v>196</v>
      </c>
      <c r="B55" s="141"/>
      <c r="C55" s="143">
        <f>'1.Project Cost and MOF'!D9</f>
        <v>0</v>
      </c>
      <c r="D55" s="143">
        <f t="shared" ref="D55:I55" si="32">C58</f>
        <v>0</v>
      </c>
      <c r="E55" s="143">
        <f t="shared" si="32"/>
        <v>0</v>
      </c>
      <c r="F55" s="143">
        <f t="shared" si="32"/>
        <v>0</v>
      </c>
      <c r="G55" s="143">
        <f t="shared" si="32"/>
        <v>0</v>
      </c>
      <c r="H55" s="143">
        <f t="shared" si="32"/>
        <v>0</v>
      </c>
      <c r="I55" s="143">
        <f t="shared" si="32"/>
        <v>0</v>
      </c>
      <c r="J55" s="73"/>
      <c r="K55" s="143">
        <f>C55</f>
        <v>0</v>
      </c>
      <c r="L55" s="143">
        <f t="shared" ref="L55:Q55" si="33">K58</f>
        <v>0</v>
      </c>
      <c r="M55" s="143">
        <f t="shared" si="33"/>
        <v>0</v>
      </c>
      <c r="N55" s="143">
        <f t="shared" si="33"/>
        <v>0</v>
      </c>
      <c r="O55" s="143">
        <f t="shared" si="33"/>
        <v>0</v>
      </c>
      <c r="P55" s="143">
        <f t="shared" si="33"/>
        <v>0</v>
      </c>
      <c r="Q55" s="143">
        <f t="shared" si="33"/>
        <v>0</v>
      </c>
    </row>
    <row r="56" spans="1:17">
      <c r="A56" s="141" t="s">
        <v>17</v>
      </c>
      <c r="B56" s="141"/>
      <c r="C56" s="143">
        <f t="shared" ref="C56:I56" si="34">$C$55*$B$77</f>
        <v>0</v>
      </c>
      <c r="D56" s="143">
        <f t="shared" si="34"/>
        <v>0</v>
      </c>
      <c r="E56" s="143">
        <f t="shared" si="34"/>
        <v>0</v>
      </c>
      <c r="F56" s="143">
        <f t="shared" si="34"/>
        <v>0</v>
      </c>
      <c r="G56" s="143">
        <f t="shared" si="34"/>
        <v>0</v>
      </c>
      <c r="H56" s="143">
        <f t="shared" si="34"/>
        <v>0</v>
      </c>
      <c r="I56" s="143">
        <f t="shared" si="34"/>
        <v>0</v>
      </c>
      <c r="J56" s="73"/>
      <c r="K56" s="143">
        <f t="shared" ref="K56:Q56" si="35">K55*$C$77</f>
        <v>0</v>
      </c>
      <c r="L56" s="143">
        <f t="shared" si="35"/>
        <v>0</v>
      </c>
      <c r="M56" s="143">
        <f t="shared" si="35"/>
        <v>0</v>
      </c>
      <c r="N56" s="143">
        <f t="shared" si="35"/>
        <v>0</v>
      </c>
      <c r="O56" s="143">
        <f t="shared" si="35"/>
        <v>0</v>
      </c>
      <c r="P56" s="143">
        <f t="shared" si="35"/>
        <v>0</v>
      </c>
      <c r="Q56" s="143">
        <f t="shared" si="35"/>
        <v>0</v>
      </c>
    </row>
    <row r="57" spans="1:17">
      <c r="A57" s="141" t="s">
        <v>197</v>
      </c>
      <c r="B57" s="141"/>
      <c r="C57" s="143">
        <f>C56</f>
        <v>0</v>
      </c>
      <c r="D57" s="143">
        <f t="shared" ref="D57:I57" si="36">C57+D56</f>
        <v>0</v>
      </c>
      <c r="E57" s="143">
        <f t="shared" si="36"/>
        <v>0</v>
      </c>
      <c r="F57" s="143">
        <f t="shared" si="36"/>
        <v>0</v>
      </c>
      <c r="G57" s="143">
        <f t="shared" si="36"/>
        <v>0</v>
      </c>
      <c r="H57" s="143">
        <f t="shared" si="36"/>
        <v>0</v>
      </c>
      <c r="I57" s="143">
        <f t="shared" si="36"/>
        <v>0</v>
      </c>
      <c r="J57" s="73"/>
      <c r="K57" s="143">
        <f>K56</f>
        <v>0</v>
      </c>
      <c r="L57" s="143">
        <f t="shared" ref="L57:Q57" si="37">K57+L56</f>
        <v>0</v>
      </c>
      <c r="M57" s="143">
        <f t="shared" si="37"/>
        <v>0</v>
      </c>
      <c r="N57" s="143">
        <f t="shared" si="37"/>
        <v>0</v>
      </c>
      <c r="O57" s="143">
        <f t="shared" si="37"/>
        <v>0</v>
      </c>
      <c r="P57" s="143">
        <f t="shared" si="37"/>
        <v>0</v>
      </c>
      <c r="Q57" s="143">
        <f t="shared" si="37"/>
        <v>0</v>
      </c>
    </row>
    <row r="58" spans="1:17">
      <c r="A58" s="141" t="s">
        <v>198</v>
      </c>
      <c r="B58" s="141"/>
      <c r="C58" s="143">
        <f t="shared" ref="C58:I58" si="38">C55-C56</f>
        <v>0</v>
      </c>
      <c r="D58" s="143">
        <f t="shared" si="38"/>
        <v>0</v>
      </c>
      <c r="E58" s="143">
        <f t="shared" si="38"/>
        <v>0</v>
      </c>
      <c r="F58" s="143">
        <f t="shared" si="38"/>
        <v>0</v>
      </c>
      <c r="G58" s="143">
        <f t="shared" si="38"/>
        <v>0</v>
      </c>
      <c r="H58" s="143">
        <f t="shared" si="38"/>
        <v>0</v>
      </c>
      <c r="I58" s="143">
        <f t="shared" si="38"/>
        <v>0</v>
      </c>
      <c r="J58" s="73"/>
      <c r="K58" s="143">
        <f t="shared" ref="K58:Q58" si="39">K55-K56</f>
        <v>0</v>
      </c>
      <c r="L58" s="143">
        <f t="shared" si="39"/>
        <v>0</v>
      </c>
      <c r="M58" s="143">
        <f t="shared" si="39"/>
        <v>0</v>
      </c>
      <c r="N58" s="143">
        <f t="shared" si="39"/>
        <v>0</v>
      </c>
      <c r="O58" s="143">
        <f t="shared" si="39"/>
        <v>0</v>
      </c>
      <c r="P58" s="143">
        <f t="shared" si="39"/>
        <v>0</v>
      </c>
      <c r="Q58" s="143">
        <f t="shared" si="39"/>
        <v>0</v>
      </c>
    </row>
    <row r="59" spans="1:17">
      <c r="A59" s="141"/>
      <c r="B59" s="141"/>
      <c r="C59" s="143"/>
      <c r="D59" s="143"/>
      <c r="E59" s="143"/>
      <c r="F59" s="143"/>
      <c r="G59" s="143"/>
      <c r="H59" s="143"/>
      <c r="I59" s="143"/>
      <c r="J59" s="73"/>
      <c r="K59" s="143"/>
      <c r="L59" s="143"/>
      <c r="M59" s="143"/>
      <c r="N59" s="143"/>
      <c r="O59" s="143"/>
      <c r="P59" s="143"/>
      <c r="Q59" s="143"/>
    </row>
    <row r="60" spans="1:17">
      <c r="A60" s="271" t="s">
        <v>324</v>
      </c>
      <c r="B60" s="141"/>
      <c r="C60" s="143"/>
      <c r="D60" s="143"/>
      <c r="E60" s="143"/>
      <c r="F60" s="143"/>
      <c r="G60" s="143"/>
      <c r="H60" s="143"/>
      <c r="I60" s="143"/>
      <c r="J60" s="73"/>
      <c r="K60" s="143"/>
      <c r="L60" s="143"/>
      <c r="M60" s="143"/>
      <c r="N60" s="143"/>
      <c r="O60" s="143"/>
      <c r="P60" s="143"/>
      <c r="Q60" s="143"/>
    </row>
    <row r="61" spans="1:17">
      <c r="A61" s="141" t="str">
        <f>A55</f>
        <v>Asset Value</v>
      </c>
      <c r="B61" s="141"/>
      <c r="C61" s="143">
        <f>'1.Project Cost and MOF'!D8</f>
        <v>246820</v>
      </c>
      <c r="D61" s="143">
        <f t="shared" ref="D61:I61" si="40">C64</f>
        <v>222138</v>
      </c>
      <c r="E61" s="143">
        <f t="shared" si="40"/>
        <v>197456</v>
      </c>
      <c r="F61" s="143">
        <f t="shared" si="40"/>
        <v>172774</v>
      </c>
      <c r="G61" s="143">
        <f t="shared" si="40"/>
        <v>148092</v>
      </c>
      <c r="H61" s="143">
        <f t="shared" si="40"/>
        <v>123410</v>
      </c>
      <c r="I61" s="143">
        <f t="shared" si="40"/>
        <v>98728</v>
      </c>
      <c r="J61" s="73"/>
      <c r="K61" s="143">
        <f>C61</f>
        <v>246820</v>
      </c>
      <c r="L61" s="143">
        <f t="shared" ref="L61:Q61" si="41">K64</f>
        <v>148092</v>
      </c>
      <c r="M61" s="143">
        <f t="shared" si="41"/>
        <v>88855.2</v>
      </c>
      <c r="N61" s="143">
        <f t="shared" si="41"/>
        <v>53313.119999999995</v>
      </c>
      <c r="O61" s="143">
        <f t="shared" si="41"/>
        <v>31987.871999999996</v>
      </c>
      <c r="P61" s="143">
        <f t="shared" si="41"/>
        <v>19192.723199999997</v>
      </c>
      <c r="Q61" s="143">
        <f t="shared" si="41"/>
        <v>11515.633919999997</v>
      </c>
    </row>
    <row r="62" spans="1:17">
      <c r="A62" s="141" t="str">
        <f>A56</f>
        <v>Depreciation</v>
      </c>
      <c r="B62" s="141"/>
      <c r="C62" s="143">
        <f t="shared" ref="C62:I62" si="42">$C$61*$B$76</f>
        <v>24682</v>
      </c>
      <c r="D62" s="143">
        <f t="shared" si="42"/>
        <v>24682</v>
      </c>
      <c r="E62" s="143">
        <f t="shared" si="42"/>
        <v>24682</v>
      </c>
      <c r="F62" s="143">
        <f t="shared" si="42"/>
        <v>24682</v>
      </c>
      <c r="G62" s="143">
        <f t="shared" si="42"/>
        <v>24682</v>
      </c>
      <c r="H62" s="143">
        <f t="shared" si="42"/>
        <v>24682</v>
      </c>
      <c r="I62" s="143">
        <f t="shared" si="42"/>
        <v>24682</v>
      </c>
      <c r="J62" s="73"/>
      <c r="K62" s="143">
        <f t="shared" ref="K62:Q62" si="43">K61*$C$76</f>
        <v>98728</v>
      </c>
      <c r="L62" s="143">
        <f t="shared" si="43"/>
        <v>59236.800000000003</v>
      </c>
      <c r="M62" s="143">
        <f t="shared" si="43"/>
        <v>35542.080000000002</v>
      </c>
      <c r="N62" s="143">
        <f t="shared" si="43"/>
        <v>21325.248</v>
      </c>
      <c r="O62" s="143">
        <f t="shared" si="43"/>
        <v>12795.148799999999</v>
      </c>
      <c r="P62" s="143">
        <f t="shared" si="43"/>
        <v>7677.0892799999992</v>
      </c>
      <c r="Q62" s="143">
        <f t="shared" si="43"/>
        <v>4606.2535679999992</v>
      </c>
    </row>
    <row r="63" spans="1:17">
      <c r="A63" s="141" t="str">
        <f>A57</f>
        <v>Accumulated Depreciation</v>
      </c>
      <c r="B63" s="141"/>
      <c r="C63" s="143">
        <f>C62</f>
        <v>24682</v>
      </c>
      <c r="D63" s="143">
        <f t="shared" ref="D63:I63" si="44">D62+C63</f>
        <v>49364</v>
      </c>
      <c r="E63" s="143">
        <f t="shared" si="44"/>
        <v>74046</v>
      </c>
      <c r="F63" s="143">
        <f t="shared" si="44"/>
        <v>98728</v>
      </c>
      <c r="G63" s="143">
        <f t="shared" si="44"/>
        <v>123410</v>
      </c>
      <c r="H63" s="143">
        <f t="shared" si="44"/>
        <v>148092</v>
      </c>
      <c r="I63" s="143">
        <f t="shared" si="44"/>
        <v>172774</v>
      </c>
      <c r="J63" s="73"/>
      <c r="K63" s="143">
        <f>K62</f>
        <v>98728</v>
      </c>
      <c r="L63" s="143">
        <f t="shared" ref="L63:Q63" si="45">L62+K63</f>
        <v>157964.79999999999</v>
      </c>
      <c r="M63" s="143">
        <f t="shared" si="45"/>
        <v>193506.88</v>
      </c>
      <c r="N63" s="143">
        <f t="shared" si="45"/>
        <v>214832.128</v>
      </c>
      <c r="O63" s="143">
        <f t="shared" si="45"/>
        <v>227627.27679999999</v>
      </c>
      <c r="P63" s="143">
        <f t="shared" si="45"/>
        <v>235304.36607999998</v>
      </c>
      <c r="Q63" s="143">
        <f t="shared" si="45"/>
        <v>239910.61964799996</v>
      </c>
    </row>
    <row r="64" spans="1:17">
      <c r="A64" s="141" t="str">
        <f>A58</f>
        <v>Net Fixed Assets</v>
      </c>
      <c r="B64" s="141"/>
      <c r="C64" s="143">
        <f t="shared" ref="C64:I64" si="46">C61-C62</f>
        <v>222138</v>
      </c>
      <c r="D64" s="143">
        <f t="shared" si="46"/>
        <v>197456</v>
      </c>
      <c r="E64" s="143">
        <f t="shared" si="46"/>
        <v>172774</v>
      </c>
      <c r="F64" s="143">
        <f t="shared" si="46"/>
        <v>148092</v>
      </c>
      <c r="G64" s="143">
        <f t="shared" si="46"/>
        <v>123410</v>
      </c>
      <c r="H64" s="143">
        <f t="shared" si="46"/>
        <v>98728</v>
      </c>
      <c r="I64" s="143">
        <f t="shared" si="46"/>
        <v>74046</v>
      </c>
      <c r="J64" s="73"/>
      <c r="K64" s="143">
        <f t="shared" ref="K64:Q64" si="47">K61-K62</f>
        <v>148092</v>
      </c>
      <c r="L64" s="143">
        <f t="shared" si="47"/>
        <v>88855.2</v>
      </c>
      <c r="M64" s="143">
        <f t="shared" si="47"/>
        <v>53313.119999999995</v>
      </c>
      <c r="N64" s="143">
        <f t="shared" si="47"/>
        <v>31987.871999999996</v>
      </c>
      <c r="O64" s="143">
        <f t="shared" si="47"/>
        <v>19192.723199999997</v>
      </c>
      <c r="P64" s="143">
        <f t="shared" si="47"/>
        <v>11515.633919999997</v>
      </c>
      <c r="Q64" s="143">
        <f t="shared" si="47"/>
        <v>6909.3803519999974</v>
      </c>
    </row>
    <row r="65" spans="1:17">
      <c r="A65" s="142" t="s">
        <v>202</v>
      </c>
      <c r="B65" s="142"/>
      <c r="C65" s="137">
        <f t="shared" ref="C65:I68" si="48">C49+C43+C37+C55+C61</f>
        <v>15011786.6</v>
      </c>
      <c r="D65" s="137">
        <f t="shared" si="48"/>
        <v>14467350.85702</v>
      </c>
      <c r="E65" s="137">
        <f t="shared" si="48"/>
        <v>13922915.114040002</v>
      </c>
      <c r="F65" s="137">
        <f t="shared" si="48"/>
        <v>13378479.371060003</v>
      </c>
      <c r="G65" s="137">
        <f t="shared" si="48"/>
        <v>12834043.628080003</v>
      </c>
      <c r="H65" s="137">
        <f t="shared" si="48"/>
        <v>12289607.885100003</v>
      </c>
      <c r="I65" s="137">
        <f t="shared" si="48"/>
        <v>11745172.142120004</v>
      </c>
      <c r="J65" s="73"/>
      <c r="K65" s="137">
        <f t="shared" ref="K65:Q68" si="49">K49+K43+K37+K55+K61</f>
        <v>15011786.6</v>
      </c>
      <c r="L65" s="137">
        <f t="shared" si="49"/>
        <v>13386268.76</v>
      </c>
      <c r="M65" s="137">
        <f t="shared" si="49"/>
        <v>11960465.080999998</v>
      </c>
      <c r="N65" s="137">
        <f t="shared" si="49"/>
        <v>10701425.190349998</v>
      </c>
      <c r="O65" s="137">
        <f t="shared" si="49"/>
        <v>9584402.436147498</v>
      </c>
      <c r="P65" s="137">
        <f t="shared" si="49"/>
        <v>8590112.4766403735</v>
      </c>
      <c r="Q65" s="137">
        <f t="shared" si="49"/>
        <v>7703028.0608678171</v>
      </c>
    </row>
    <row r="66" spans="1:17">
      <c r="A66" s="142" t="s">
        <v>203</v>
      </c>
      <c r="B66" s="142"/>
      <c r="C66" s="137">
        <f t="shared" si="48"/>
        <v>544435.74297999998</v>
      </c>
      <c r="D66" s="137">
        <f t="shared" si="48"/>
        <v>544435.74297999998</v>
      </c>
      <c r="E66" s="137">
        <f t="shared" si="48"/>
        <v>544435.74297999998</v>
      </c>
      <c r="F66" s="137">
        <f t="shared" si="48"/>
        <v>544435.74297999998</v>
      </c>
      <c r="G66" s="137">
        <f t="shared" si="48"/>
        <v>544435.74297999998</v>
      </c>
      <c r="H66" s="137">
        <f t="shared" si="48"/>
        <v>544435.74297999998</v>
      </c>
      <c r="I66" s="137">
        <f t="shared" si="48"/>
        <v>544435.74297999998</v>
      </c>
      <c r="J66" s="73"/>
      <c r="K66" s="137">
        <f t="shared" si="49"/>
        <v>1625517.84</v>
      </c>
      <c r="L66" s="137">
        <f t="shared" si="49"/>
        <v>1425803.679</v>
      </c>
      <c r="M66" s="137">
        <f t="shared" si="49"/>
        <v>1259039.8906500002</v>
      </c>
      <c r="N66" s="137">
        <f t="shared" si="49"/>
        <v>1117022.7542024998</v>
      </c>
      <c r="O66" s="137">
        <f t="shared" si="49"/>
        <v>994289.95950712496</v>
      </c>
      <c r="P66" s="137">
        <f t="shared" si="49"/>
        <v>887084.41577255621</v>
      </c>
      <c r="Q66" s="137">
        <f t="shared" si="49"/>
        <v>792725.54473902273</v>
      </c>
    </row>
    <row r="67" spans="1:17">
      <c r="A67" s="142" t="s">
        <v>204</v>
      </c>
      <c r="B67" s="142"/>
      <c r="C67" s="137">
        <f t="shared" si="48"/>
        <v>544435.74297999998</v>
      </c>
      <c r="D67" s="137">
        <f t="shared" si="48"/>
        <v>1088871.48596</v>
      </c>
      <c r="E67" s="137">
        <f t="shared" si="48"/>
        <v>1633307.2289400001</v>
      </c>
      <c r="F67" s="137">
        <f t="shared" si="48"/>
        <v>2177742.9719199999</v>
      </c>
      <c r="G67" s="137">
        <f t="shared" si="48"/>
        <v>2722178.7149</v>
      </c>
      <c r="H67" s="137">
        <f t="shared" si="48"/>
        <v>3266614.4578799997</v>
      </c>
      <c r="I67" s="137">
        <f t="shared" si="48"/>
        <v>3811050.2008599993</v>
      </c>
      <c r="J67" s="73"/>
      <c r="K67" s="137">
        <f t="shared" si="49"/>
        <v>1625517.84</v>
      </c>
      <c r="L67" s="137">
        <f t="shared" si="49"/>
        <v>3051321.5189999994</v>
      </c>
      <c r="M67" s="137">
        <f t="shared" si="49"/>
        <v>4310361.4096499998</v>
      </c>
      <c r="N67" s="137">
        <f t="shared" si="49"/>
        <v>5427384.1638524989</v>
      </c>
      <c r="O67" s="137">
        <f t="shared" si="49"/>
        <v>6421674.1233596252</v>
      </c>
      <c r="P67" s="137">
        <f t="shared" si="49"/>
        <v>7308758.5391321816</v>
      </c>
      <c r="Q67" s="137">
        <f t="shared" si="49"/>
        <v>8101484.0838712044</v>
      </c>
    </row>
    <row r="68" spans="1:17">
      <c r="A68" s="142" t="s">
        <v>198</v>
      </c>
      <c r="B68" s="142"/>
      <c r="C68" s="137">
        <f t="shared" si="48"/>
        <v>14467350.85702</v>
      </c>
      <c r="D68" s="137">
        <f t="shared" si="48"/>
        <v>13922915.114040002</v>
      </c>
      <c r="E68" s="137">
        <f t="shared" si="48"/>
        <v>13378479.371060003</v>
      </c>
      <c r="F68" s="137">
        <f t="shared" si="48"/>
        <v>12834043.628080003</v>
      </c>
      <c r="G68" s="137">
        <f t="shared" si="48"/>
        <v>12289607.885100003</v>
      </c>
      <c r="H68" s="137">
        <f t="shared" si="48"/>
        <v>11745172.142120004</v>
      </c>
      <c r="I68" s="137">
        <f t="shared" si="48"/>
        <v>11200736.399140004</v>
      </c>
      <c r="J68" s="73"/>
      <c r="K68" s="137">
        <f t="shared" si="49"/>
        <v>13386268.76</v>
      </c>
      <c r="L68" s="137">
        <f t="shared" si="49"/>
        <v>11960465.080999998</v>
      </c>
      <c r="M68" s="137">
        <f t="shared" si="49"/>
        <v>10701425.190349998</v>
      </c>
      <c r="N68" s="137">
        <f t="shared" si="49"/>
        <v>9584402.436147498</v>
      </c>
      <c r="O68" s="137">
        <f t="shared" si="49"/>
        <v>8590112.4766403735</v>
      </c>
      <c r="P68" s="137">
        <f t="shared" si="49"/>
        <v>7703028.0608678171</v>
      </c>
      <c r="Q68" s="137">
        <f t="shared" si="49"/>
        <v>6910302.5161287943</v>
      </c>
    </row>
    <row r="69" spans="1:17">
      <c r="A69" s="146"/>
      <c r="B69" s="146"/>
      <c r="C69" s="147"/>
      <c r="D69" s="147"/>
      <c r="E69" s="147"/>
      <c r="F69" s="147"/>
      <c r="G69" s="147"/>
      <c r="H69" s="147"/>
      <c r="I69" s="147"/>
      <c r="J69" s="72"/>
    </row>
    <row r="70" spans="1:17">
      <c r="A70" s="72"/>
      <c r="B70" s="72"/>
      <c r="C70" s="72"/>
      <c r="D70" s="72"/>
      <c r="E70" s="72"/>
      <c r="F70" s="72"/>
      <c r="G70" s="72"/>
      <c r="H70" s="72"/>
      <c r="I70" s="72"/>
      <c r="J70" s="72"/>
    </row>
    <row r="71" spans="1:17" ht="42.5">
      <c r="A71" s="148" t="s">
        <v>205</v>
      </c>
      <c r="B71" s="151" t="s">
        <v>682</v>
      </c>
      <c r="C71" s="151" t="s">
        <v>683</v>
      </c>
      <c r="D71" s="72"/>
      <c r="E71" s="72"/>
      <c r="F71" s="72"/>
      <c r="G71" s="72"/>
      <c r="H71" s="72"/>
      <c r="I71" s="72"/>
      <c r="J71" s="72"/>
    </row>
    <row r="72" spans="1:17" ht="28.5">
      <c r="A72" s="151" t="s">
        <v>206</v>
      </c>
      <c r="B72" s="149" t="s">
        <v>207</v>
      </c>
      <c r="C72" s="150" t="s">
        <v>208</v>
      </c>
      <c r="D72" s="72"/>
      <c r="E72" s="72"/>
      <c r="F72" s="72"/>
      <c r="G72" s="72"/>
      <c r="H72" s="72"/>
      <c r="I72" s="72"/>
      <c r="J72" s="72"/>
    </row>
    <row r="73" spans="1:17">
      <c r="A73" s="151" t="s">
        <v>149</v>
      </c>
      <c r="B73" s="152">
        <v>0</v>
      </c>
      <c r="C73" s="152">
        <v>0</v>
      </c>
      <c r="D73" s="72"/>
      <c r="E73" s="72"/>
      <c r="F73" s="72"/>
      <c r="G73" s="72"/>
      <c r="H73" s="72"/>
      <c r="I73" s="72"/>
      <c r="J73" s="72"/>
    </row>
    <row r="74" spans="1:17">
      <c r="A74" s="153" t="s">
        <v>199</v>
      </c>
      <c r="B74" s="152">
        <v>3.1699999999999999E-2</v>
      </c>
      <c r="C74" s="152">
        <v>0.1</v>
      </c>
      <c r="D74" s="154"/>
      <c r="E74" s="72"/>
      <c r="F74" s="72"/>
      <c r="G74" s="72"/>
      <c r="H74" s="72"/>
      <c r="I74" s="72"/>
      <c r="J74" s="72"/>
    </row>
    <row r="75" spans="1:17">
      <c r="A75" s="153" t="s">
        <v>201</v>
      </c>
      <c r="B75" s="314">
        <v>0.1</v>
      </c>
      <c r="C75" s="152">
        <v>0.1</v>
      </c>
      <c r="D75" s="72"/>
      <c r="E75" s="72"/>
      <c r="F75" s="72"/>
      <c r="G75" s="72"/>
      <c r="H75" s="72"/>
      <c r="I75" s="72"/>
      <c r="J75" s="72"/>
    </row>
    <row r="76" spans="1:17">
      <c r="A76" s="72" t="s">
        <v>209</v>
      </c>
      <c r="B76" s="314">
        <v>0.1</v>
      </c>
      <c r="C76" s="155">
        <v>0.4</v>
      </c>
      <c r="D76" s="72"/>
      <c r="E76" s="72"/>
      <c r="F76" s="72"/>
      <c r="G76" s="72"/>
      <c r="H76" s="72"/>
      <c r="I76" s="72"/>
      <c r="J76" s="72"/>
    </row>
    <row r="77" spans="1:17">
      <c r="A77" s="72" t="s">
        <v>274</v>
      </c>
      <c r="B77" s="314">
        <v>0.1188</v>
      </c>
      <c r="C77" s="155">
        <v>0.15</v>
      </c>
      <c r="D77" s="72"/>
      <c r="E77" s="72"/>
      <c r="F77" s="72"/>
      <c r="G77" s="72"/>
      <c r="H77" s="72"/>
      <c r="I77" s="72"/>
      <c r="J77" s="72"/>
    </row>
    <row r="78" spans="1:17">
      <c r="A78" s="153" t="s">
        <v>210</v>
      </c>
      <c r="B78" s="314">
        <v>6.3299999999999995E-2</v>
      </c>
      <c r="C78" s="155">
        <v>0.15</v>
      </c>
      <c r="D78" s="72"/>
      <c r="E78" s="72"/>
      <c r="F78" s="72"/>
      <c r="G78" s="72"/>
      <c r="H78" s="72"/>
      <c r="I78" s="72"/>
      <c r="J78" s="72"/>
    </row>
    <row r="79" spans="1:17" ht="28.5">
      <c r="A79" s="151" t="s">
        <v>205</v>
      </c>
      <c r="B79" s="152"/>
      <c r="C79" s="154"/>
      <c r="D79" s="72"/>
      <c r="E79" s="72"/>
      <c r="F79" s="72"/>
      <c r="G79" s="72"/>
      <c r="H79" s="72"/>
      <c r="I79" s="72"/>
      <c r="J79" s="72"/>
    </row>
    <row r="80" spans="1:17" ht="28.5">
      <c r="A80" s="153" t="s">
        <v>211</v>
      </c>
      <c r="B80" s="154">
        <v>0.2</v>
      </c>
      <c r="C80" s="154">
        <v>0.2</v>
      </c>
      <c r="D80" s="72"/>
      <c r="E80" s="72"/>
      <c r="F80" s="72"/>
      <c r="G80" s="72"/>
      <c r="H80" s="72"/>
      <c r="I80" s="72"/>
      <c r="J80" s="72"/>
    </row>
    <row r="81" spans="1:12">
      <c r="A81" s="72"/>
      <c r="B81" s="72"/>
      <c r="C81" s="72"/>
      <c r="D81" s="72"/>
      <c r="E81" s="72"/>
      <c r="F81" s="72"/>
      <c r="G81" s="72"/>
      <c r="H81" s="72"/>
      <c r="I81" s="72"/>
      <c r="J81" s="72"/>
    </row>
    <row r="82" spans="1:12">
      <c r="A82" s="72"/>
      <c r="B82" s="72"/>
      <c r="C82" s="72"/>
      <c r="D82" s="72"/>
      <c r="E82" s="156"/>
      <c r="F82" s="72"/>
      <c r="G82" s="72"/>
      <c r="H82" s="72"/>
      <c r="I82" s="72"/>
      <c r="J82" s="72"/>
    </row>
    <row r="83" spans="1:12" s="25" customFormat="1" ht="17.5">
      <c r="A83" s="411" t="s">
        <v>551</v>
      </c>
      <c r="B83" s="411"/>
      <c r="C83" s="411"/>
      <c r="D83" s="411"/>
      <c r="E83" s="411"/>
      <c r="F83" s="411"/>
      <c r="G83" s="411"/>
      <c r="H83" s="411"/>
      <c r="I83" s="411"/>
      <c r="J83" s="411"/>
    </row>
    <row r="84" spans="1:12" s="25" customFormat="1">
      <c r="A84" s="26"/>
      <c r="B84" s="26"/>
    </row>
    <row r="85" spans="1:12" s="25" customFormat="1">
      <c r="A85" s="129" t="s">
        <v>0</v>
      </c>
      <c r="B85" s="130" t="s">
        <v>334</v>
      </c>
      <c r="C85" s="131" t="s">
        <v>2</v>
      </c>
      <c r="D85" s="131" t="s">
        <v>3</v>
      </c>
      <c r="E85" s="131" t="s">
        <v>4</v>
      </c>
      <c r="F85" s="131" t="s">
        <v>5</v>
      </c>
      <c r="G85" s="131" t="s">
        <v>6</v>
      </c>
      <c r="H85" s="131" t="s">
        <v>169</v>
      </c>
      <c r="I85" s="131" t="s">
        <v>168</v>
      </c>
      <c r="J85" s="29"/>
      <c r="K85" s="29"/>
      <c r="L85" s="29"/>
    </row>
    <row r="86" spans="1:12" s="25" customFormat="1">
      <c r="A86" s="132" t="s">
        <v>252</v>
      </c>
      <c r="B86" s="133">
        <v>5</v>
      </c>
      <c r="C86" s="134">
        <f>'1.Project Cost and MOF'!$D$10/5</f>
        <v>14832</v>
      </c>
      <c r="D86" s="134">
        <f>'1.Project Cost and MOF'!$D$10/5</f>
        <v>14832</v>
      </c>
      <c r="E86" s="134">
        <f>'1.Project Cost and MOF'!$D$10/5</f>
        <v>14832</v>
      </c>
      <c r="F86" s="134">
        <f>'1.Project Cost and MOF'!$D$10/5</f>
        <v>14832</v>
      </c>
      <c r="G86" s="134">
        <f>'1.Project Cost and MOF'!$D$10/5</f>
        <v>14832</v>
      </c>
      <c r="H86" s="134">
        <v>0</v>
      </c>
      <c r="I86" s="134">
        <v>0</v>
      </c>
      <c r="J86" s="29"/>
      <c r="K86" s="29"/>
      <c r="L86" s="29"/>
    </row>
    <row r="87" spans="1:12" s="25" customFormat="1">
      <c r="A87" s="135" t="s">
        <v>335</v>
      </c>
      <c r="B87" s="136"/>
      <c r="C87" s="137">
        <f t="shared" ref="C87:I87" si="50">SUM(C85:C86)</f>
        <v>14832</v>
      </c>
      <c r="D87" s="137">
        <f t="shared" si="50"/>
        <v>14832</v>
      </c>
      <c r="E87" s="137">
        <f t="shared" si="50"/>
        <v>14832</v>
      </c>
      <c r="F87" s="137">
        <f t="shared" si="50"/>
        <v>14832</v>
      </c>
      <c r="G87" s="137">
        <f t="shared" si="50"/>
        <v>14832</v>
      </c>
      <c r="H87" s="137">
        <f t="shared" si="50"/>
        <v>0</v>
      </c>
      <c r="I87" s="137">
        <f t="shared" si="50"/>
        <v>0</v>
      </c>
      <c r="J87" s="51"/>
      <c r="K87" s="51"/>
      <c r="L87" s="51"/>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7.5">
      <c r="A92" s="422" t="s">
        <v>552</v>
      </c>
      <c r="B92" s="422"/>
      <c r="C92" s="422"/>
      <c r="D92" s="422"/>
      <c r="E92" s="422"/>
      <c r="F92" s="422"/>
      <c r="G92" s="422"/>
      <c r="H92" s="422"/>
      <c r="I92" s="126"/>
      <c r="J92" s="126"/>
      <c r="K92" s="126"/>
    </row>
    <row r="93" spans="1:12">
      <c r="A93" s="26"/>
      <c r="B93" s="25"/>
      <c r="C93" s="25"/>
      <c r="D93" s="25"/>
      <c r="E93" s="25"/>
      <c r="F93" s="25"/>
      <c r="G93" s="25"/>
      <c r="H93" s="25"/>
      <c r="I93" s="25"/>
      <c r="J93" s="25"/>
      <c r="K93" s="25"/>
    </row>
    <row r="94" spans="1:12">
      <c r="A94" s="124" t="s">
        <v>0</v>
      </c>
      <c r="B94" s="96" t="s">
        <v>2</v>
      </c>
      <c r="C94" s="96" t="s">
        <v>3</v>
      </c>
      <c r="D94" s="96" t="s">
        <v>4</v>
      </c>
      <c r="E94" s="96" t="s">
        <v>5</v>
      </c>
      <c r="F94" s="96" t="s">
        <v>6</v>
      </c>
      <c r="G94" s="96" t="s">
        <v>169</v>
      </c>
      <c r="H94" s="96" t="s">
        <v>168</v>
      </c>
      <c r="I94" s="21"/>
      <c r="J94" s="21"/>
      <c r="K94" s="21"/>
    </row>
    <row r="95" spans="1:12">
      <c r="A95" s="59" t="s">
        <v>224</v>
      </c>
      <c r="B95" s="127">
        <f>'6.Cons Profit &amp; Loss'!B49</f>
        <v>2056081.8680907185</v>
      </c>
      <c r="C95" s="127">
        <f>'6.Cons Profit &amp; Loss'!C49</f>
        <v>2600046.4238205077</v>
      </c>
      <c r="D95" s="127">
        <f>'6.Cons Profit &amp; Loss'!D49</f>
        <v>3201881.7058028257</v>
      </c>
      <c r="E95" s="127">
        <f>'6.Cons Profit &amp; Loss'!E49</f>
        <v>3856502.4747294383</v>
      </c>
      <c r="F95" s="127">
        <f>'6.Cons Profit &amp; Loss'!F49</f>
        <v>4568036.029300319</v>
      </c>
      <c r="G95" s="127">
        <f>'6.Cons Profit &amp; Loss'!G49</f>
        <v>5355767.2464973349</v>
      </c>
      <c r="H95" s="127">
        <f>'6.Cons Profit &amp; Loss'!H49</f>
        <v>6194838.5044650184</v>
      </c>
      <c r="I95" s="28"/>
      <c r="J95" s="28"/>
      <c r="K95" s="28"/>
    </row>
    <row r="96" spans="1:12">
      <c r="A96" s="59" t="s">
        <v>225</v>
      </c>
      <c r="B96" s="127">
        <f>'6.Cons Profit &amp; Loss'!B42</f>
        <v>544435.74297999998</v>
      </c>
      <c r="C96" s="127">
        <f>'6.Cons Profit &amp; Loss'!C42</f>
        <v>544435.74297999998</v>
      </c>
      <c r="D96" s="127">
        <f>'6.Cons Profit &amp; Loss'!D42</f>
        <v>544435.74297999998</v>
      </c>
      <c r="E96" s="127">
        <f>'6.Cons Profit &amp; Loss'!E42</f>
        <v>544435.74297999998</v>
      </c>
      <c r="F96" s="127">
        <f>'6.Cons Profit &amp; Loss'!F42</f>
        <v>544435.74297999998</v>
      </c>
      <c r="G96" s="127">
        <f>'6.Cons Profit &amp; Loss'!G42</f>
        <v>544435.74297999998</v>
      </c>
      <c r="H96" s="127">
        <f>'6.Cons Profit &amp; Loss'!H42</f>
        <v>544435.74297999998</v>
      </c>
      <c r="I96" s="28"/>
      <c r="J96" s="28"/>
      <c r="K96" s="28"/>
    </row>
    <row r="97" spans="1:11">
      <c r="A97" s="59" t="s">
        <v>226</v>
      </c>
      <c r="B97" s="127">
        <f>'3.Other Exp &amp; Taxes'!K66</f>
        <v>1625517.84</v>
      </c>
      <c r="C97" s="127">
        <f>'3.Other Exp &amp; Taxes'!L66</f>
        <v>1425803.679</v>
      </c>
      <c r="D97" s="127">
        <f>'3.Other Exp &amp; Taxes'!M66</f>
        <v>1259039.8906500002</v>
      </c>
      <c r="E97" s="127">
        <f>'3.Other Exp &amp; Taxes'!N66</f>
        <v>1117022.7542024998</v>
      </c>
      <c r="F97" s="127">
        <f>'3.Other Exp &amp; Taxes'!O66</f>
        <v>994289.95950712496</v>
      </c>
      <c r="G97" s="127">
        <f>'3.Other Exp &amp; Taxes'!P66</f>
        <v>887084.41577255621</v>
      </c>
      <c r="H97" s="127">
        <f>'3.Other Exp &amp; Taxes'!Q66</f>
        <v>792725.54473902273</v>
      </c>
      <c r="I97" s="28"/>
      <c r="J97" s="28"/>
      <c r="K97" s="28"/>
    </row>
    <row r="98" spans="1:11">
      <c r="A98" s="59" t="s">
        <v>287</v>
      </c>
      <c r="B98" s="127">
        <f t="shared" ref="B98:H98" si="51">B95+B96-B97</f>
        <v>974999.77107071853</v>
      </c>
      <c r="C98" s="127">
        <f t="shared" si="51"/>
        <v>1718678.4878005078</v>
      </c>
      <c r="D98" s="127">
        <f t="shared" si="51"/>
        <v>2487277.5581328254</v>
      </c>
      <c r="E98" s="127">
        <f t="shared" si="51"/>
        <v>3283915.463506938</v>
      </c>
      <c r="F98" s="127">
        <f t="shared" si="51"/>
        <v>4118181.8127731937</v>
      </c>
      <c r="G98" s="127">
        <f t="shared" si="51"/>
        <v>5013118.5737047782</v>
      </c>
      <c r="H98" s="127">
        <f t="shared" si="51"/>
        <v>5946548.7027059952</v>
      </c>
      <c r="I98" s="28"/>
      <c r="J98" s="28"/>
      <c r="K98" s="28"/>
    </row>
    <row r="99" spans="1:11">
      <c r="A99" s="61" t="s">
        <v>227</v>
      </c>
      <c r="B99" s="128">
        <f>IF(B98&gt;0,B98*$B$102,"0")</f>
        <v>253499.94047838682</v>
      </c>
      <c r="C99" s="128">
        <f>IF(C98&gt;0,C98*$B$102,"0")</f>
        <v>446856.40682813205</v>
      </c>
      <c r="D99" s="128">
        <f t="shared" ref="D99:H99" si="52">IF(D98&gt;0,D98*$B$102,"0")</f>
        <v>646692.16511453467</v>
      </c>
      <c r="E99" s="128">
        <f t="shared" si="52"/>
        <v>853818.02051180392</v>
      </c>
      <c r="F99" s="128">
        <f t="shared" si="52"/>
        <v>1070727.2713210303</v>
      </c>
      <c r="G99" s="128">
        <f t="shared" si="52"/>
        <v>1303410.8291632424</v>
      </c>
      <c r="H99" s="128">
        <f t="shared" si="52"/>
        <v>1546102.6627035588</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383</v>
      </c>
      <c r="B102" s="236">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5" customHeight="1">
      <c r="A104" s="423" t="s">
        <v>414</v>
      </c>
      <c r="B104" s="423"/>
      <c r="C104" s="423"/>
      <c r="D104" s="423"/>
      <c r="E104" s="423"/>
      <c r="F104" s="423"/>
      <c r="G104" s="423"/>
      <c r="H104" s="423"/>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81"/>
  <sheetViews>
    <sheetView topLeftCell="A57" workbookViewId="0">
      <selection activeCell="G74" sqref="B58:G74"/>
    </sheetView>
  </sheetViews>
  <sheetFormatPr defaultRowHeight="14.5"/>
  <cols>
    <col min="3" max="3" width="43.81640625" bestFit="1" customWidth="1"/>
    <col min="5" max="6" width="14.08984375" bestFit="1" customWidth="1"/>
    <col min="7" max="7" width="11.453125" bestFit="1" customWidth="1"/>
    <col min="11" max="11" width="6.90625" bestFit="1" customWidth="1"/>
    <col min="12" max="12" width="50.54296875" bestFit="1" customWidth="1"/>
    <col min="13" max="13" width="29.81640625" bestFit="1" customWidth="1"/>
  </cols>
  <sheetData>
    <row r="58" spans="2:13" ht="15" thickBot="1">
      <c r="B58" s="242" t="s">
        <v>146</v>
      </c>
      <c r="C58" s="242" t="s">
        <v>0</v>
      </c>
      <c r="D58" s="242" t="s">
        <v>133</v>
      </c>
      <c r="E58" s="242" t="s">
        <v>724</v>
      </c>
      <c r="F58" s="242" t="s">
        <v>725</v>
      </c>
      <c r="G58" s="242" t="s">
        <v>752</v>
      </c>
    </row>
    <row r="59" spans="2:13" ht="15" thickBot="1">
      <c r="B59" s="9" t="s">
        <v>173</v>
      </c>
      <c r="C59" s="9" t="s">
        <v>726</v>
      </c>
      <c r="D59" s="9"/>
      <c r="E59" s="9"/>
      <c r="F59" s="9"/>
      <c r="G59" s="9"/>
      <c r="K59" s="372" t="s">
        <v>146</v>
      </c>
      <c r="L59" s="373" t="s">
        <v>0</v>
      </c>
      <c r="M59" s="373" t="s">
        <v>771</v>
      </c>
    </row>
    <row r="60" spans="2:13" ht="15" thickBot="1">
      <c r="B60" s="9">
        <v>1</v>
      </c>
      <c r="C60" s="9" t="str">
        <f>'2.Capex Details'!C18</f>
        <v>Kubota Tractor MU (45HP) 2WD</v>
      </c>
      <c r="D60" s="9">
        <v>1</v>
      </c>
      <c r="E60" s="20">
        <f>'2.Capex Details'!G18</f>
        <v>730000</v>
      </c>
      <c r="F60" s="20">
        <f>E60</f>
        <v>730000</v>
      </c>
      <c r="G60" s="350">
        <f>F62/$F$74</f>
        <v>6.1381630503716617E-2</v>
      </c>
      <c r="K60" s="377" t="s">
        <v>173</v>
      </c>
      <c r="L60" s="378" t="s">
        <v>726</v>
      </c>
      <c r="M60" s="374"/>
    </row>
    <row r="61" spans="2:13" ht="15" thickBot="1">
      <c r="B61" s="9">
        <v>2</v>
      </c>
      <c r="C61" s="9" t="str">
        <f>'2.Capex Details'!C19</f>
        <v>Hydrolic Trailor</v>
      </c>
      <c r="D61" s="9"/>
      <c r="E61" s="20">
        <f>'2.Capex Details'!G19</f>
        <v>196000</v>
      </c>
      <c r="F61" s="20">
        <f>E61</f>
        <v>196000</v>
      </c>
      <c r="G61" s="350"/>
      <c r="K61" s="377"/>
      <c r="L61" s="378"/>
      <c r="M61" s="374"/>
    </row>
    <row r="62" spans="2:13" ht="15" thickBot="1">
      <c r="B62" s="427" t="s">
        <v>171</v>
      </c>
      <c r="C62" s="427"/>
      <c r="D62" s="427"/>
      <c r="E62" s="427"/>
      <c r="F62" s="20">
        <f>SUM(F60:F61)</f>
        <v>926000</v>
      </c>
      <c r="G62" s="350"/>
      <c r="K62" s="375">
        <v>1</v>
      </c>
      <c r="L62" s="374"/>
      <c r="M62" s="376"/>
    </row>
    <row r="63" spans="2:13" ht="15" thickBot="1">
      <c r="B63" s="9" t="s">
        <v>727</v>
      </c>
      <c r="C63" s="9" t="s">
        <v>728</v>
      </c>
      <c r="D63" s="9"/>
      <c r="E63" s="9"/>
      <c r="F63" s="9"/>
      <c r="G63" s="347"/>
      <c r="K63" s="387" t="str">
        <f>B63</f>
        <v xml:space="preserve">B </v>
      </c>
      <c r="L63" s="388" t="str">
        <f>C63</f>
        <v>Post Harvest</v>
      </c>
      <c r="M63" s="376"/>
    </row>
    <row r="64" spans="2:13" ht="15" thickBot="1">
      <c r="B64" s="9">
        <v>1</v>
      </c>
      <c r="C64" s="9" t="s">
        <v>776</v>
      </c>
      <c r="D64" s="9">
        <v>1</v>
      </c>
      <c r="E64" s="20">
        <f>'2.Capex Details'!G6</f>
        <v>13467463</v>
      </c>
      <c r="F64" s="20">
        <f>D64*E64</f>
        <v>13467463</v>
      </c>
      <c r="G64" s="484">
        <f>F68/$F$74</f>
        <v>0.89800971455115719</v>
      </c>
      <c r="K64" s="375">
        <v>1</v>
      </c>
      <c r="L64" s="374" t="str">
        <f t="shared" ref="L64:L67" si="0">C64</f>
        <v>Construction of Warehouse</v>
      </c>
      <c r="M64" s="376" t="s">
        <v>772</v>
      </c>
    </row>
    <row r="65" spans="2:13" ht="15" thickBot="1">
      <c r="B65" s="9">
        <v>6</v>
      </c>
      <c r="C65" s="9" t="str">
        <f>'2.Capex Details'!C33</f>
        <v>Fire extingnisher</v>
      </c>
      <c r="D65" s="9">
        <v>1</v>
      </c>
      <c r="E65" s="20">
        <f>'2.Capex Details'!G37</f>
        <v>21322.6</v>
      </c>
      <c r="F65" s="20">
        <f t="shared" ref="F65:F67" si="1">D65*E65</f>
        <v>21322.6</v>
      </c>
      <c r="G65" s="485"/>
      <c r="K65" s="375">
        <v>6</v>
      </c>
      <c r="L65" s="374" t="str">
        <f t="shared" si="0"/>
        <v>Fire extingnisher</v>
      </c>
      <c r="M65" s="376" t="s">
        <v>772</v>
      </c>
    </row>
    <row r="66" spans="2:13" ht="15" thickBot="1">
      <c r="B66" s="9">
        <v>7</v>
      </c>
      <c r="C66" s="9" t="str">
        <f>'2.Capex Details'!C38</f>
        <v>Hand Operated Stitching Machine</v>
      </c>
      <c r="D66" s="9">
        <v>1</v>
      </c>
      <c r="E66" s="20">
        <f>'2.Capex Details'!G38</f>
        <v>11800</v>
      </c>
      <c r="F66" s="20">
        <f t="shared" si="1"/>
        <v>11800</v>
      </c>
      <c r="G66" s="485"/>
      <c r="K66" s="375">
        <v>7</v>
      </c>
      <c r="L66" s="374" t="str">
        <f t="shared" si="0"/>
        <v>Hand Operated Stitching Machine</v>
      </c>
      <c r="M66" s="376" t="s">
        <v>772</v>
      </c>
    </row>
    <row r="67" spans="2:13" ht="15" thickBot="1">
      <c r="B67" s="9">
        <v>8</v>
      </c>
      <c r="C67" s="9" t="str">
        <f>'2.Capex Details'!C40</f>
        <v>Lab Equipment</v>
      </c>
      <c r="D67" s="9">
        <v>1</v>
      </c>
      <c r="E67" s="20">
        <f>'2.Capex Details'!G48</f>
        <v>46741</v>
      </c>
      <c r="F67" s="20">
        <f t="shared" si="1"/>
        <v>46741</v>
      </c>
      <c r="G67" s="486"/>
      <c r="K67" s="375">
        <v>8</v>
      </c>
      <c r="L67" s="374" t="str">
        <f t="shared" si="0"/>
        <v>Lab Equipment</v>
      </c>
      <c r="M67" s="376" t="s">
        <v>772</v>
      </c>
    </row>
    <row r="68" spans="2:13" ht="15" thickBot="1">
      <c r="B68" s="427" t="s">
        <v>171</v>
      </c>
      <c r="C68" s="427"/>
      <c r="D68" s="9"/>
      <c r="E68" s="9"/>
      <c r="F68" s="20">
        <f>SUM(F64:F67)</f>
        <v>13547326.6</v>
      </c>
      <c r="G68" s="350"/>
      <c r="K68" s="387" t="str">
        <f>B69</f>
        <v>C</v>
      </c>
      <c r="L68" s="388" t="str">
        <f>C69</f>
        <v>Others</v>
      </c>
      <c r="M68" s="376"/>
    </row>
    <row r="69" spans="2:13" ht="15" thickBot="1">
      <c r="B69" s="9" t="s">
        <v>175</v>
      </c>
      <c r="C69" s="9" t="s">
        <v>729</v>
      </c>
      <c r="D69" s="9"/>
      <c r="E69" s="9"/>
      <c r="F69" s="9"/>
      <c r="G69" s="350"/>
      <c r="K69" s="375">
        <v>1</v>
      </c>
      <c r="L69" s="386" t="str">
        <f>C70</f>
        <v>Furniture &amp; Fixture</v>
      </c>
      <c r="M69" s="376" t="s">
        <v>772</v>
      </c>
    </row>
    <row r="70" spans="2:13" ht="15" thickBot="1">
      <c r="B70" s="9">
        <v>1</v>
      </c>
      <c r="C70" s="9" t="s">
        <v>325</v>
      </c>
      <c r="D70" s="9">
        <v>1</v>
      </c>
      <c r="E70" s="20">
        <f>'2.Capex Details'!F66</f>
        <v>291640</v>
      </c>
      <c r="F70" s="20">
        <f>D70*E70</f>
        <v>291640</v>
      </c>
      <c r="G70" s="428">
        <f>F73/$F$74</f>
        <v>4.0608654945126214E-2</v>
      </c>
      <c r="K70" s="375">
        <v>2</v>
      </c>
      <c r="L70" s="386" t="str">
        <f>C71</f>
        <v>IT &amp; IT Infrastracture</v>
      </c>
      <c r="M70" s="376" t="s">
        <v>772</v>
      </c>
    </row>
    <row r="71" spans="2:13" ht="15" thickBot="1">
      <c r="B71" s="9">
        <v>2</v>
      </c>
      <c r="C71" s="9" t="s">
        <v>730</v>
      </c>
      <c r="D71" s="9">
        <v>1</v>
      </c>
      <c r="E71" s="20">
        <f>'2.Capex Details'!F84</f>
        <v>246820</v>
      </c>
      <c r="F71" s="20">
        <f t="shared" ref="F71:F72" si="2">D71*E71</f>
        <v>246820</v>
      </c>
      <c r="G71" s="428"/>
      <c r="K71" s="375">
        <v>3</v>
      </c>
      <c r="L71" s="386" t="str">
        <f>C72</f>
        <v>Preliminary/Preoperative Expenses</v>
      </c>
      <c r="M71" s="376" t="s">
        <v>772</v>
      </c>
    </row>
    <row r="72" spans="2:13" ht="15" thickBot="1">
      <c r="B72" s="9">
        <v>3</v>
      </c>
      <c r="C72" s="9" t="s">
        <v>731</v>
      </c>
      <c r="D72" s="9">
        <v>1</v>
      </c>
      <c r="E72" s="20">
        <f>'2.Capex Details'!D124</f>
        <v>74160</v>
      </c>
      <c r="F72" s="20">
        <f t="shared" si="2"/>
        <v>74160</v>
      </c>
      <c r="G72" s="428"/>
      <c r="K72" s="375"/>
      <c r="L72" s="374"/>
      <c r="M72" s="376"/>
    </row>
    <row r="73" spans="2:13" ht="15" thickBot="1">
      <c r="B73" s="427" t="s">
        <v>171</v>
      </c>
      <c r="C73" s="427"/>
      <c r="D73" s="427"/>
      <c r="E73" s="427"/>
      <c r="F73" s="20">
        <f>SUM(F70:F72)</f>
        <v>612620</v>
      </c>
      <c r="G73" s="428"/>
      <c r="K73" s="377"/>
      <c r="L73" s="378"/>
      <c r="M73" s="379"/>
    </row>
    <row r="74" spans="2:13" ht="15" thickBot="1">
      <c r="B74" s="427" t="s">
        <v>732</v>
      </c>
      <c r="C74" s="427"/>
      <c r="D74" s="9"/>
      <c r="E74" s="9"/>
      <c r="F74" s="20">
        <f>F73+F68+F62</f>
        <v>15085946.6</v>
      </c>
      <c r="G74" s="487">
        <v>1</v>
      </c>
      <c r="K74" s="375"/>
      <c r="L74" s="374"/>
      <c r="M74" s="376"/>
    </row>
    <row r="75" spans="2:13" ht="15" thickBot="1">
      <c r="B75" t="s">
        <v>733</v>
      </c>
      <c r="F75">
        <f>SUM('1.Project Cost and MOF'!D5:D10)</f>
        <v>15085946.6</v>
      </c>
      <c r="K75" s="375"/>
      <c r="L75" s="374"/>
      <c r="M75" s="380"/>
    </row>
    <row r="76" spans="2:13" ht="15" thickBot="1">
      <c r="F76" s="52"/>
      <c r="K76" s="375"/>
      <c r="L76" s="374"/>
      <c r="M76" s="380"/>
    </row>
    <row r="77" spans="2:13" ht="15" thickBot="1">
      <c r="K77" s="375"/>
      <c r="L77" s="374"/>
      <c r="M77" s="380"/>
    </row>
    <row r="78" spans="2:13" ht="15" thickBot="1">
      <c r="F78" s="52"/>
      <c r="K78" s="377"/>
      <c r="L78" s="378"/>
      <c r="M78" s="379"/>
    </row>
    <row r="79" spans="2:13" ht="15" thickBot="1">
      <c r="K79" s="375"/>
      <c r="L79" s="374"/>
      <c r="M79" s="376"/>
    </row>
    <row r="80" spans="2:13" ht="15" thickBot="1">
      <c r="K80" s="375"/>
      <c r="L80" s="374"/>
      <c r="M80" s="376"/>
    </row>
    <row r="81" spans="11:13" ht="15" thickBot="1">
      <c r="K81" s="375"/>
      <c r="L81" s="374"/>
      <c r="M81" s="376"/>
    </row>
  </sheetData>
  <mergeCells count="6">
    <mergeCell ref="B62:E62"/>
    <mergeCell ref="B73:E73"/>
    <mergeCell ref="B74:C74"/>
    <mergeCell ref="G70:G73"/>
    <mergeCell ref="B68:C68"/>
    <mergeCell ref="G64:G6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75" zoomScale="80" zoomScaleSheetLayoutView="80" workbookViewId="0">
      <selection activeCell="A9" sqref="A9:G93"/>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411" t="s">
        <v>553</v>
      </c>
      <c r="B2" s="411"/>
      <c r="C2" s="411"/>
      <c r="D2" s="411"/>
      <c r="E2" s="411"/>
      <c r="F2" s="411"/>
      <c r="G2" s="429"/>
    </row>
    <row r="3" spans="1:7">
      <c r="B3" s="13"/>
      <c r="C3" s="13"/>
      <c r="D3" s="13"/>
      <c r="E3" s="13"/>
      <c r="F3" s="13"/>
      <c r="G3" s="13"/>
    </row>
    <row r="4" spans="1:7">
      <c r="A4" s="72"/>
      <c r="B4" s="72"/>
      <c r="C4" s="72" t="s">
        <v>456</v>
      </c>
      <c r="D4" s="88">
        <f>'1.Project Cost and MOF'!E20</f>
        <v>4113000</v>
      </c>
      <c r="E4" s="72"/>
      <c r="F4" s="72"/>
      <c r="G4" s="72"/>
    </row>
    <row r="5" spans="1:7">
      <c r="A5" s="72"/>
      <c r="B5" s="72"/>
      <c r="C5" s="72" t="s">
        <v>457</v>
      </c>
      <c r="D5" s="231">
        <v>0.12</v>
      </c>
      <c r="E5" s="72"/>
      <c r="F5" s="72"/>
      <c r="G5" s="72"/>
    </row>
    <row r="6" spans="1:7">
      <c r="A6" s="72"/>
      <c r="B6" s="72"/>
      <c r="C6" s="72" t="s">
        <v>458</v>
      </c>
      <c r="D6" s="232">
        <v>7</v>
      </c>
      <c r="E6" s="72"/>
      <c r="F6" s="72"/>
      <c r="G6" s="72"/>
    </row>
    <row r="7" spans="1:7">
      <c r="A7" s="72"/>
      <c r="B7" s="72"/>
      <c r="C7" s="72" t="s">
        <v>459</v>
      </c>
      <c r="D7" s="232">
        <v>6</v>
      </c>
      <c r="E7" s="72"/>
      <c r="F7" s="72"/>
      <c r="G7" s="72"/>
    </row>
    <row r="8" spans="1:7">
      <c r="A8" s="72"/>
      <c r="B8" s="72"/>
      <c r="C8" s="72" t="s">
        <v>22</v>
      </c>
      <c r="D8" s="175">
        <f>PMT(D5/12,(D6-(D7/12))*12,-D4)</f>
        <v>76192.827546500106</v>
      </c>
      <c r="E8" s="175"/>
      <c r="F8" s="221"/>
      <c r="G8" s="72"/>
    </row>
    <row r="9" spans="1:7">
      <c r="A9" s="124" t="s">
        <v>288</v>
      </c>
      <c r="B9" s="176" t="s">
        <v>18</v>
      </c>
      <c r="C9" s="177" t="s">
        <v>19</v>
      </c>
      <c r="D9" s="177" t="s">
        <v>20</v>
      </c>
      <c r="E9" s="177" t="s">
        <v>21</v>
      </c>
      <c r="F9" s="177" t="s">
        <v>22</v>
      </c>
      <c r="G9" s="177" t="s">
        <v>23</v>
      </c>
    </row>
    <row r="10" spans="1:7">
      <c r="A10" s="73" t="s">
        <v>11</v>
      </c>
      <c r="B10" s="73" t="s">
        <v>52</v>
      </c>
      <c r="C10" s="74">
        <f>D4</f>
        <v>4113000</v>
      </c>
      <c r="D10" s="74">
        <f t="shared" ref="D10:D41" si="0">C10*$D$5/12</f>
        <v>41130</v>
      </c>
      <c r="E10" s="74">
        <f t="shared" ref="E10:E15" si="1">F10-D10</f>
        <v>0</v>
      </c>
      <c r="F10" s="74">
        <f>D10</f>
        <v>41130</v>
      </c>
      <c r="G10" s="74">
        <f>C10-E10</f>
        <v>4113000</v>
      </c>
    </row>
    <row r="11" spans="1:7">
      <c r="A11" s="73"/>
      <c r="B11" s="73" t="s">
        <v>53</v>
      </c>
      <c r="C11" s="74">
        <f>G10</f>
        <v>4113000</v>
      </c>
      <c r="D11" s="74">
        <f t="shared" si="0"/>
        <v>41130</v>
      </c>
      <c r="E11" s="74">
        <f t="shared" si="1"/>
        <v>0</v>
      </c>
      <c r="F11" s="74">
        <f t="shared" ref="F11:F15" si="2">D11</f>
        <v>41130</v>
      </c>
      <c r="G11" s="74">
        <f t="shared" ref="G11:G74" si="3">C11-E11</f>
        <v>4113000</v>
      </c>
    </row>
    <row r="12" spans="1:7">
      <c r="A12" s="73"/>
      <c r="B12" s="73" t="s">
        <v>54</v>
      </c>
      <c r="C12" s="74">
        <f t="shared" ref="C12:C75" si="4">G11</f>
        <v>4113000</v>
      </c>
      <c r="D12" s="74">
        <f t="shared" si="0"/>
        <v>41130</v>
      </c>
      <c r="E12" s="74">
        <f t="shared" si="1"/>
        <v>0</v>
      </c>
      <c r="F12" s="74">
        <f t="shared" si="2"/>
        <v>41130</v>
      </c>
      <c r="G12" s="74">
        <f t="shared" si="3"/>
        <v>4113000</v>
      </c>
    </row>
    <row r="13" spans="1:7">
      <c r="A13" s="73"/>
      <c r="B13" s="73" t="s">
        <v>55</v>
      </c>
      <c r="C13" s="74">
        <f t="shared" si="4"/>
        <v>4113000</v>
      </c>
      <c r="D13" s="74">
        <f t="shared" si="0"/>
        <v>41130</v>
      </c>
      <c r="E13" s="74">
        <f t="shared" si="1"/>
        <v>0</v>
      </c>
      <c r="F13" s="74">
        <f t="shared" si="2"/>
        <v>41130</v>
      </c>
      <c r="G13" s="74">
        <f t="shared" si="3"/>
        <v>4113000</v>
      </c>
    </row>
    <row r="14" spans="1:7">
      <c r="A14" s="73"/>
      <c r="B14" s="73" t="s">
        <v>56</v>
      </c>
      <c r="C14" s="74">
        <f t="shared" si="4"/>
        <v>4113000</v>
      </c>
      <c r="D14" s="74">
        <f t="shared" si="0"/>
        <v>41130</v>
      </c>
      <c r="E14" s="74">
        <f t="shared" si="1"/>
        <v>0</v>
      </c>
      <c r="F14" s="74">
        <f t="shared" si="2"/>
        <v>41130</v>
      </c>
      <c r="G14" s="74">
        <f t="shared" si="3"/>
        <v>4113000</v>
      </c>
    </row>
    <row r="15" spans="1:7">
      <c r="A15" s="73"/>
      <c r="B15" s="73" t="s">
        <v>57</v>
      </c>
      <c r="C15" s="74">
        <f t="shared" si="4"/>
        <v>4113000</v>
      </c>
      <c r="D15" s="74">
        <f t="shared" si="0"/>
        <v>41130</v>
      </c>
      <c r="E15" s="74">
        <f t="shared" si="1"/>
        <v>0</v>
      </c>
      <c r="F15" s="74">
        <f t="shared" si="2"/>
        <v>41130</v>
      </c>
      <c r="G15" s="74">
        <f t="shared" si="3"/>
        <v>4113000</v>
      </c>
    </row>
    <row r="16" spans="1:7">
      <c r="A16" s="73"/>
      <c r="B16" s="73" t="s">
        <v>58</v>
      </c>
      <c r="C16" s="74">
        <f t="shared" si="4"/>
        <v>4113000</v>
      </c>
      <c r="D16" s="74">
        <f t="shared" si="0"/>
        <v>41130</v>
      </c>
      <c r="E16" s="74">
        <f>F16-D16</f>
        <v>35062.827546500106</v>
      </c>
      <c r="F16" s="74">
        <f t="shared" ref="F16:F74" si="5">$D$8</f>
        <v>76192.827546500106</v>
      </c>
      <c r="G16" s="74">
        <f t="shared" si="3"/>
        <v>4077937.1724534999</v>
      </c>
    </row>
    <row r="17" spans="1:9">
      <c r="A17" s="73"/>
      <c r="B17" s="73" t="s">
        <v>59</v>
      </c>
      <c r="C17" s="74">
        <f t="shared" si="4"/>
        <v>4077937.1724534999</v>
      </c>
      <c r="D17" s="74">
        <f t="shared" si="0"/>
        <v>40779.371724534998</v>
      </c>
      <c r="E17" s="74">
        <f t="shared" ref="E17:E80" si="6">F17-D17</f>
        <v>35413.455821965108</v>
      </c>
      <c r="F17" s="74">
        <f t="shared" si="5"/>
        <v>76192.827546500106</v>
      </c>
      <c r="G17" s="74">
        <f t="shared" si="3"/>
        <v>4042523.716631535</v>
      </c>
    </row>
    <row r="18" spans="1:9">
      <c r="A18" s="73"/>
      <c r="B18" s="73" t="s">
        <v>60</v>
      </c>
      <c r="C18" s="74">
        <f t="shared" si="4"/>
        <v>4042523.716631535</v>
      </c>
      <c r="D18" s="74">
        <f t="shared" si="0"/>
        <v>40425.237166315346</v>
      </c>
      <c r="E18" s="74">
        <f t="shared" si="6"/>
        <v>35767.59038018476</v>
      </c>
      <c r="F18" s="74">
        <f t="shared" si="5"/>
        <v>76192.827546500106</v>
      </c>
      <c r="G18" s="74">
        <f t="shared" si="3"/>
        <v>4006756.1262513502</v>
      </c>
    </row>
    <row r="19" spans="1:9">
      <c r="A19" s="73"/>
      <c r="B19" s="73" t="s">
        <v>61</v>
      </c>
      <c r="C19" s="74">
        <f t="shared" si="4"/>
        <v>4006756.1262513502</v>
      </c>
      <c r="D19" s="74">
        <f t="shared" si="0"/>
        <v>40067.561262513504</v>
      </c>
      <c r="E19" s="74">
        <f t="shared" si="6"/>
        <v>36125.266283986603</v>
      </c>
      <c r="F19" s="74">
        <f t="shared" si="5"/>
        <v>76192.827546500106</v>
      </c>
      <c r="G19" s="74">
        <f t="shared" si="3"/>
        <v>3970630.8599673635</v>
      </c>
    </row>
    <row r="20" spans="1:9">
      <c r="A20" s="73"/>
      <c r="B20" s="73" t="s">
        <v>62</v>
      </c>
      <c r="C20" s="74">
        <f t="shared" si="4"/>
        <v>3970630.8599673635</v>
      </c>
      <c r="D20" s="74">
        <f t="shared" si="0"/>
        <v>39706.308599673634</v>
      </c>
      <c r="E20" s="74">
        <f t="shared" si="6"/>
        <v>36486.518946826473</v>
      </c>
      <c r="F20" s="74">
        <f t="shared" si="5"/>
        <v>76192.827546500106</v>
      </c>
      <c r="G20" s="74">
        <f t="shared" si="3"/>
        <v>3934144.3410205371</v>
      </c>
    </row>
    <row r="21" spans="1:9">
      <c r="A21" s="73"/>
      <c r="B21" s="73" t="s">
        <v>63</v>
      </c>
      <c r="C21" s="74">
        <f t="shared" si="4"/>
        <v>3934144.3410205371</v>
      </c>
      <c r="D21" s="74">
        <f t="shared" si="0"/>
        <v>39341.443410205371</v>
      </c>
      <c r="E21" s="74">
        <f t="shared" si="6"/>
        <v>36851.384136294735</v>
      </c>
      <c r="F21" s="74">
        <f t="shared" si="5"/>
        <v>76192.827546500106</v>
      </c>
      <c r="G21" s="74">
        <f t="shared" si="3"/>
        <v>3897292.9568842421</v>
      </c>
      <c r="H21" s="1"/>
      <c r="I21" s="1"/>
    </row>
    <row r="22" spans="1:9">
      <c r="A22" s="73" t="s">
        <v>12</v>
      </c>
      <c r="B22" s="73" t="s">
        <v>64</v>
      </c>
      <c r="C22" s="74">
        <f t="shared" si="4"/>
        <v>3897292.9568842421</v>
      </c>
      <c r="D22" s="74">
        <f t="shared" si="0"/>
        <v>38972.929568842424</v>
      </c>
      <c r="E22" s="74">
        <f t="shared" si="6"/>
        <v>37219.897977657682</v>
      </c>
      <c r="F22" s="74">
        <f t="shared" si="5"/>
        <v>76192.827546500106</v>
      </c>
      <c r="G22" s="74">
        <f t="shared" si="3"/>
        <v>3860073.0589065845</v>
      </c>
    </row>
    <row r="23" spans="1:9">
      <c r="A23" s="73"/>
      <c r="B23" s="73" t="s">
        <v>65</v>
      </c>
      <c r="C23" s="74">
        <f t="shared" si="4"/>
        <v>3860073.0589065845</v>
      </c>
      <c r="D23" s="74">
        <f t="shared" si="0"/>
        <v>38600.730589065839</v>
      </c>
      <c r="E23" s="74">
        <f t="shared" si="6"/>
        <v>37592.096957434267</v>
      </c>
      <c r="F23" s="74">
        <f t="shared" si="5"/>
        <v>76192.827546500106</v>
      </c>
      <c r="G23" s="74">
        <f t="shared" si="3"/>
        <v>3822480.9619491501</v>
      </c>
    </row>
    <row r="24" spans="1:9">
      <c r="A24" s="73"/>
      <c r="B24" s="73" t="s">
        <v>66</v>
      </c>
      <c r="C24" s="74">
        <f t="shared" si="4"/>
        <v>3822480.9619491501</v>
      </c>
      <c r="D24" s="74">
        <f t="shared" si="0"/>
        <v>38224.809619491498</v>
      </c>
      <c r="E24" s="74">
        <f t="shared" si="6"/>
        <v>37968.017927008608</v>
      </c>
      <c r="F24" s="74">
        <f t="shared" si="5"/>
        <v>76192.827546500106</v>
      </c>
      <c r="G24" s="74">
        <f t="shared" si="3"/>
        <v>3784512.9440221414</v>
      </c>
    </row>
    <row r="25" spans="1:9">
      <c r="A25" s="73"/>
      <c r="B25" s="73" t="s">
        <v>67</v>
      </c>
      <c r="C25" s="74">
        <f t="shared" si="4"/>
        <v>3784512.9440221414</v>
      </c>
      <c r="D25" s="74">
        <f t="shared" si="0"/>
        <v>37845.129440221412</v>
      </c>
      <c r="E25" s="74">
        <f t="shared" si="6"/>
        <v>38347.698106278694</v>
      </c>
      <c r="F25" s="74">
        <f t="shared" si="5"/>
        <v>76192.827546500106</v>
      </c>
      <c r="G25" s="74">
        <f t="shared" si="3"/>
        <v>3746165.2459158627</v>
      </c>
    </row>
    <row r="26" spans="1:9">
      <c r="A26" s="73"/>
      <c r="B26" s="73" t="s">
        <v>68</v>
      </c>
      <c r="C26" s="74">
        <f t="shared" si="4"/>
        <v>3746165.2459158627</v>
      </c>
      <c r="D26" s="74">
        <f t="shared" si="0"/>
        <v>37461.652459158628</v>
      </c>
      <c r="E26" s="74">
        <f t="shared" si="6"/>
        <v>38731.175087341479</v>
      </c>
      <c r="F26" s="74">
        <f t="shared" si="5"/>
        <v>76192.827546500106</v>
      </c>
      <c r="G26" s="74">
        <f t="shared" si="3"/>
        <v>3707434.0708285212</v>
      </c>
    </row>
    <row r="27" spans="1:9">
      <c r="A27" s="73"/>
      <c r="B27" s="73" t="s">
        <v>69</v>
      </c>
      <c r="C27" s="74">
        <f t="shared" si="4"/>
        <v>3707434.0708285212</v>
      </c>
      <c r="D27" s="74">
        <f t="shared" si="0"/>
        <v>37074.340708285214</v>
      </c>
      <c r="E27" s="74">
        <f t="shared" si="6"/>
        <v>39118.486838214892</v>
      </c>
      <c r="F27" s="74">
        <f t="shared" si="5"/>
        <v>76192.827546500106</v>
      </c>
      <c r="G27" s="74">
        <f t="shared" si="3"/>
        <v>3668315.5839903061</v>
      </c>
    </row>
    <row r="28" spans="1:9">
      <c r="A28" s="73"/>
      <c r="B28" s="73" t="s">
        <v>70</v>
      </c>
      <c r="C28" s="74">
        <f t="shared" si="4"/>
        <v>3668315.5839903061</v>
      </c>
      <c r="D28" s="74">
        <f t="shared" si="0"/>
        <v>36683.155839903062</v>
      </c>
      <c r="E28" s="74">
        <f t="shared" si="6"/>
        <v>39509.671706597044</v>
      </c>
      <c r="F28" s="74">
        <f t="shared" si="5"/>
        <v>76192.827546500106</v>
      </c>
      <c r="G28" s="74">
        <f t="shared" si="3"/>
        <v>3628805.9122837093</v>
      </c>
    </row>
    <row r="29" spans="1:9">
      <c r="A29" s="73"/>
      <c r="B29" s="73" t="s">
        <v>71</v>
      </c>
      <c r="C29" s="74">
        <f t="shared" si="4"/>
        <v>3628805.9122837093</v>
      </c>
      <c r="D29" s="74">
        <f t="shared" si="0"/>
        <v>36288.05912283709</v>
      </c>
      <c r="E29" s="74">
        <f t="shared" si="6"/>
        <v>39904.768423663016</v>
      </c>
      <c r="F29" s="74">
        <f t="shared" si="5"/>
        <v>76192.827546500106</v>
      </c>
      <c r="G29" s="74">
        <f t="shared" si="3"/>
        <v>3588901.1438600463</v>
      </c>
    </row>
    <row r="30" spans="1:9">
      <c r="A30" s="73"/>
      <c r="B30" s="73" t="s">
        <v>72</v>
      </c>
      <c r="C30" s="74">
        <f t="shared" si="4"/>
        <v>3588901.1438600463</v>
      </c>
      <c r="D30" s="74">
        <f t="shared" si="0"/>
        <v>35889.011438600464</v>
      </c>
      <c r="E30" s="74">
        <f t="shared" si="6"/>
        <v>40303.816107899642</v>
      </c>
      <c r="F30" s="74">
        <f t="shared" si="5"/>
        <v>76192.827546500106</v>
      </c>
      <c r="G30" s="74">
        <f t="shared" si="3"/>
        <v>3548597.3277521469</v>
      </c>
    </row>
    <row r="31" spans="1:9">
      <c r="A31" s="73"/>
      <c r="B31" s="73" t="s">
        <v>73</v>
      </c>
      <c r="C31" s="74">
        <f t="shared" si="4"/>
        <v>3548597.3277521469</v>
      </c>
      <c r="D31" s="74">
        <f t="shared" si="0"/>
        <v>35485.973277521465</v>
      </c>
      <c r="E31" s="74">
        <f t="shared" si="6"/>
        <v>40706.854268978641</v>
      </c>
      <c r="F31" s="74">
        <f t="shared" si="5"/>
        <v>76192.827546500106</v>
      </c>
      <c r="G31" s="74">
        <f t="shared" si="3"/>
        <v>3507890.4734831681</v>
      </c>
    </row>
    <row r="32" spans="1:9">
      <c r="A32" s="73"/>
      <c r="B32" s="73" t="s">
        <v>74</v>
      </c>
      <c r="C32" s="74">
        <f t="shared" si="4"/>
        <v>3507890.4734831681</v>
      </c>
      <c r="D32" s="74">
        <f t="shared" si="0"/>
        <v>35078.904734831674</v>
      </c>
      <c r="E32" s="74">
        <f t="shared" si="6"/>
        <v>41113.922811668432</v>
      </c>
      <c r="F32" s="74">
        <f t="shared" si="5"/>
        <v>76192.827546500106</v>
      </c>
      <c r="G32" s="74">
        <f t="shared" si="3"/>
        <v>3466776.5506714997</v>
      </c>
    </row>
    <row r="33" spans="1:9">
      <c r="A33" s="73"/>
      <c r="B33" s="73" t="s">
        <v>75</v>
      </c>
      <c r="C33" s="74">
        <f t="shared" si="4"/>
        <v>3466776.5506714997</v>
      </c>
      <c r="D33" s="74">
        <f t="shared" si="0"/>
        <v>34667.765506714997</v>
      </c>
      <c r="E33" s="74">
        <f t="shared" si="6"/>
        <v>41525.062039785109</v>
      </c>
      <c r="F33" s="74">
        <f t="shared" si="5"/>
        <v>76192.827546500106</v>
      </c>
      <c r="G33" s="74">
        <f t="shared" si="3"/>
        <v>3425251.4886317146</v>
      </c>
      <c r="H33" s="1"/>
      <c r="I33" s="1"/>
    </row>
    <row r="34" spans="1:9">
      <c r="A34" s="73" t="s">
        <v>13</v>
      </c>
      <c r="B34" s="73" t="s">
        <v>76</v>
      </c>
      <c r="C34" s="74">
        <f t="shared" si="4"/>
        <v>3425251.4886317146</v>
      </c>
      <c r="D34" s="74">
        <f t="shared" si="0"/>
        <v>34252.514886317142</v>
      </c>
      <c r="E34" s="74">
        <f t="shared" si="6"/>
        <v>41940.312660182964</v>
      </c>
      <c r="F34" s="74">
        <f t="shared" si="5"/>
        <v>76192.827546500106</v>
      </c>
      <c r="G34" s="74">
        <f t="shared" si="3"/>
        <v>3383311.1759715318</v>
      </c>
    </row>
    <row r="35" spans="1:9">
      <c r="A35" s="73"/>
      <c r="B35" s="73" t="s">
        <v>77</v>
      </c>
      <c r="C35" s="74">
        <f t="shared" si="4"/>
        <v>3383311.1759715318</v>
      </c>
      <c r="D35" s="74">
        <f t="shared" si="0"/>
        <v>33833.111759715313</v>
      </c>
      <c r="E35" s="74">
        <f t="shared" si="6"/>
        <v>42359.715786784793</v>
      </c>
      <c r="F35" s="74">
        <f t="shared" si="5"/>
        <v>76192.827546500106</v>
      </c>
      <c r="G35" s="74">
        <f t="shared" si="3"/>
        <v>3340951.4601847469</v>
      </c>
    </row>
    <row r="36" spans="1:9">
      <c r="A36" s="73"/>
      <c r="B36" s="73" t="s">
        <v>78</v>
      </c>
      <c r="C36" s="74">
        <f t="shared" si="4"/>
        <v>3340951.4601847469</v>
      </c>
      <c r="D36" s="74">
        <f t="shared" si="0"/>
        <v>33409.51460184747</v>
      </c>
      <c r="E36" s="74">
        <f t="shared" si="6"/>
        <v>42783.312944652636</v>
      </c>
      <c r="F36" s="74">
        <f t="shared" si="5"/>
        <v>76192.827546500106</v>
      </c>
      <c r="G36" s="74">
        <f t="shared" si="3"/>
        <v>3298168.1472400944</v>
      </c>
    </row>
    <row r="37" spans="1:9">
      <c r="A37" s="73"/>
      <c r="B37" s="73" t="s">
        <v>79</v>
      </c>
      <c r="C37" s="74">
        <f t="shared" si="4"/>
        <v>3298168.1472400944</v>
      </c>
      <c r="D37" s="74">
        <f t="shared" si="0"/>
        <v>32981.681472400938</v>
      </c>
      <c r="E37" s="74">
        <f t="shared" si="6"/>
        <v>43211.146074099168</v>
      </c>
      <c r="F37" s="74">
        <f t="shared" si="5"/>
        <v>76192.827546500106</v>
      </c>
      <c r="G37" s="74">
        <f t="shared" si="3"/>
        <v>3254957.0011659954</v>
      </c>
    </row>
    <row r="38" spans="1:9">
      <c r="A38" s="73"/>
      <c r="B38" s="73" t="s">
        <v>80</v>
      </c>
      <c r="C38" s="74">
        <f t="shared" si="4"/>
        <v>3254957.0011659954</v>
      </c>
      <c r="D38" s="74">
        <f t="shared" si="0"/>
        <v>32549.570011659951</v>
      </c>
      <c r="E38" s="74">
        <f t="shared" si="6"/>
        <v>43643.257534840159</v>
      </c>
      <c r="F38" s="74">
        <f t="shared" si="5"/>
        <v>76192.827546500106</v>
      </c>
      <c r="G38" s="74">
        <f t="shared" si="3"/>
        <v>3211313.7436311552</v>
      </c>
    </row>
    <row r="39" spans="1:9">
      <c r="A39" s="73"/>
      <c r="B39" s="73" t="s">
        <v>81</v>
      </c>
      <c r="C39" s="74">
        <f t="shared" si="4"/>
        <v>3211313.7436311552</v>
      </c>
      <c r="D39" s="74">
        <f t="shared" si="0"/>
        <v>32113.13743631155</v>
      </c>
      <c r="E39" s="74">
        <f t="shared" si="6"/>
        <v>44079.69011018856</v>
      </c>
      <c r="F39" s="74">
        <f t="shared" si="5"/>
        <v>76192.827546500106</v>
      </c>
      <c r="G39" s="74">
        <f t="shared" si="3"/>
        <v>3167234.0535209668</v>
      </c>
    </row>
    <row r="40" spans="1:9">
      <c r="A40" s="73"/>
      <c r="B40" s="73" t="s">
        <v>82</v>
      </c>
      <c r="C40" s="74">
        <f t="shared" si="4"/>
        <v>3167234.0535209668</v>
      </c>
      <c r="D40" s="74">
        <f t="shared" si="0"/>
        <v>31672.340535209663</v>
      </c>
      <c r="E40" s="74">
        <f t="shared" si="6"/>
        <v>44520.487011290446</v>
      </c>
      <c r="F40" s="74">
        <f t="shared" si="5"/>
        <v>76192.827546500106</v>
      </c>
      <c r="G40" s="74">
        <f t="shared" si="3"/>
        <v>3122713.5665096762</v>
      </c>
    </row>
    <row r="41" spans="1:9">
      <c r="A41" s="73"/>
      <c r="B41" s="73" t="s">
        <v>83</v>
      </c>
      <c r="C41" s="74">
        <f t="shared" si="4"/>
        <v>3122713.5665096762</v>
      </c>
      <c r="D41" s="74">
        <f t="shared" si="0"/>
        <v>31227.135665096761</v>
      </c>
      <c r="E41" s="74">
        <f t="shared" si="6"/>
        <v>44965.691881403342</v>
      </c>
      <c r="F41" s="74">
        <f t="shared" si="5"/>
        <v>76192.827546500106</v>
      </c>
      <c r="G41" s="74">
        <f t="shared" si="3"/>
        <v>3077747.8746282728</v>
      </c>
    </row>
    <row r="42" spans="1:9">
      <c r="A42" s="73"/>
      <c r="B42" s="73" t="s">
        <v>84</v>
      </c>
      <c r="C42" s="74">
        <f t="shared" si="4"/>
        <v>3077747.8746282728</v>
      </c>
      <c r="D42" s="74">
        <f t="shared" ref="D42:D73" si="7">C42*$D$5/12</f>
        <v>30777.478746282726</v>
      </c>
      <c r="E42" s="74">
        <f t="shared" si="6"/>
        <v>45415.348800217384</v>
      </c>
      <c r="F42" s="74">
        <f t="shared" si="5"/>
        <v>76192.827546500106</v>
      </c>
      <c r="G42" s="74">
        <f t="shared" si="3"/>
        <v>3032332.5258280556</v>
      </c>
    </row>
    <row r="43" spans="1:9">
      <c r="A43" s="73"/>
      <c r="B43" s="73" t="s">
        <v>85</v>
      </c>
      <c r="C43" s="74">
        <f t="shared" si="4"/>
        <v>3032332.5258280556</v>
      </c>
      <c r="D43" s="74">
        <f t="shared" si="7"/>
        <v>30323.325258280554</v>
      </c>
      <c r="E43" s="74">
        <f t="shared" si="6"/>
        <v>45869.502288219548</v>
      </c>
      <c r="F43" s="74">
        <f t="shared" si="5"/>
        <v>76192.827546500106</v>
      </c>
      <c r="G43" s="74">
        <f t="shared" si="3"/>
        <v>2986463.0235398361</v>
      </c>
    </row>
    <row r="44" spans="1:9">
      <c r="A44" s="73"/>
      <c r="B44" s="73" t="s">
        <v>86</v>
      </c>
      <c r="C44" s="74">
        <f t="shared" si="4"/>
        <v>2986463.0235398361</v>
      </c>
      <c r="D44" s="74">
        <f t="shared" si="7"/>
        <v>29864.630235398359</v>
      </c>
      <c r="E44" s="74">
        <f t="shared" si="6"/>
        <v>46328.197311101743</v>
      </c>
      <c r="F44" s="74">
        <f t="shared" si="5"/>
        <v>76192.827546500106</v>
      </c>
      <c r="G44" s="74">
        <f t="shared" si="3"/>
        <v>2940134.8262287341</v>
      </c>
    </row>
    <row r="45" spans="1:9">
      <c r="A45" s="73"/>
      <c r="B45" s="73" t="s">
        <v>87</v>
      </c>
      <c r="C45" s="74">
        <f t="shared" si="4"/>
        <v>2940134.8262287341</v>
      </c>
      <c r="D45" s="74">
        <f t="shared" si="7"/>
        <v>29401.348262287342</v>
      </c>
      <c r="E45" s="74">
        <f t="shared" si="6"/>
        <v>46791.479284212764</v>
      </c>
      <c r="F45" s="74">
        <f t="shared" si="5"/>
        <v>76192.827546500106</v>
      </c>
      <c r="G45" s="74">
        <f t="shared" si="3"/>
        <v>2893343.3469445212</v>
      </c>
      <c r="H45" s="1"/>
      <c r="I45" s="1"/>
    </row>
    <row r="46" spans="1:9">
      <c r="A46" s="73" t="s">
        <v>14</v>
      </c>
      <c r="B46" s="73" t="s">
        <v>88</v>
      </c>
      <c r="C46" s="74">
        <f t="shared" si="4"/>
        <v>2893343.3469445212</v>
      </c>
      <c r="D46" s="74">
        <f t="shared" si="7"/>
        <v>28933.433469445212</v>
      </c>
      <c r="E46" s="74">
        <f t="shared" si="6"/>
        <v>47259.394077054894</v>
      </c>
      <c r="F46" s="74">
        <f t="shared" si="5"/>
        <v>76192.827546500106</v>
      </c>
      <c r="G46" s="74">
        <f t="shared" si="3"/>
        <v>2846083.9528674665</v>
      </c>
    </row>
    <row r="47" spans="1:9">
      <c r="A47" s="73"/>
      <c r="B47" s="73" t="s">
        <v>89</v>
      </c>
      <c r="C47" s="74">
        <f t="shared" si="4"/>
        <v>2846083.9528674665</v>
      </c>
      <c r="D47" s="74">
        <f t="shared" si="7"/>
        <v>28460.839528674664</v>
      </c>
      <c r="E47" s="74">
        <f t="shared" si="6"/>
        <v>47731.988017825439</v>
      </c>
      <c r="F47" s="74">
        <f t="shared" si="5"/>
        <v>76192.827546500106</v>
      </c>
      <c r="G47" s="74">
        <f t="shared" si="3"/>
        <v>2798351.9648496411</v>
      </c>
    </row>
    <row r="48" spans="1:9">
      <c r="A48" s="73"/>
      <c r="B48" s="73" t="s">
        <v>90</v>
      </c>
      <c r="C48" s="74">
        <f t="shared" si="4"/>
        <v>2798351.9648496411</v>
      </c>
      <c r="D48" s="74">
        <f t="shared" si="7"/>
        <v>27983.519648496411</v>
      </c>
      <c r="E48" s="74">
        <f t="shared" si="6"/>
        <v>48209.307898003695</v>
      </c>
      <c r="F48" s="74">
        <f t="shared" si="5"/>
        <v>76192.827546500106</v>
      </c>
      <c r="G48" s="74">
        <f t="shared" si="3"/>
        <v>2750142.6569516375</v>
      </c>
    </row>
    <row r="49" spans="1:9">
      <c r="A49" s="73"/>
      <c r="B49" s="73" t="s">
        <v>91</v>
      </c>
      <c r="C49" s="74">
        <f t="shared" si="4"/>
        <v>2750142.6569516375</v>
      </c>
      <c r="D49" s="74">
        <f t="shared" si="7"/>
        <v>27501.426569516374</v>
      </c>
      <c r="E49" s="74">
        <f t="shared" si="6"/>
        <v>48691.400976983728</v>
      </c>
      <c r="F49" s="74">
        <f t="shared" si="5"/>
        <v>76192.827546500106</v>
      </c>
      <c r="G49" s="74">
        <f t="shared" si="3"/>
        <v>2701451.2559746536</v>
      </c>
    </row>
    <row r="50" spans="1:9">
      <c r="A50" s="73"/>
      <c r="B50" s="73" t="s">
        <v>92</v>
      </c>
      <c r="C50" s="74">
        <f t="shared" si="4"/>
        <v>2701451.2559746536</v>
      </c>
      <c r="D50" s="74">
        <f t="shared" si="7"/>
        <v>27014.512559746538</v>
      </c>
      <c r="E50" s="74">
        <f t="shared" si="6"/>
        <v>49178.314986753569</v>
      </c>
      <c r="F50" s="74">
        <f t="shared" si="5"/>
        <v>76192.827546500106</v>
      </c>
      <c r="G50" s="74">
        <f t="shared" si="3"/>
        <v>2652272.9409878999</v>
      </c>
    </row>
    <row r="51" spans="1:9">
      <c r="A51" s="73"/>
      <c r="B51" s="73" t="s">
        <v>93</v>
      </c>
      <c r="C51" s="74">
        <f t="shared" si="4"/>
        <v>2652272.9409878999</v>
      </c>
      <c r="D51" s="74">
        <f t="shared" si="7"/>
        <v>26522.729409878997</v>
      </c>
      <c r="E51" s="74">
        <f t="shared" si="6"/>
        <v>49670.098136621105</v>
      </c>
      <c r="F51" s="74">
        <f t="shared" si="5"/>
        <v>76192.827546500106</v>
      </c>
      <c r="G51" s="74">
        <f t="shared" si="3"/>
        <v>2602602.8428512788</v>
      </c>
    </row>
    <row r="52" spans="1:9">
      <c r="A52" s="73"/>
      <c r="B52" s="73" t="s">
        <v>94</v>
      </c>
      <c r="C52" s="74">
        <f t="shared" si="4"/>
        <v>2602602.8428512788</v>
      </c>
      <c r="D52" s="74">
        <f t="shared" si="7"/>
        <v>26026.028428512785</v>
      </c>
      <c r="E52" s="74">
        <f t="shared" si="6"/>
        <v>50166.799117987321</v>
      </c>
      <c r="F52" s="74">
        <f t="shared" si="5"/>
        <v>76192.827546500106</v>
      </c>
      <c r="G52" s="74">
        <f t="shared" si="3"/>
        <v>2552436.0437332913</v>
      </c>
    </row>
    <row r="53" spans="1:9">
      <c r="A53" s="73"/>
      <c r="B53" s="73" t="s">
        <v>95</v>
      </c>
      <c r="C53" s="74">
        <f t="shared" si="4"/>
        <v>2552436.0437332913</v>
      </c>
      <c r="D53" s="74">
        <f t="shared" si="7"/>
        <v>25524.360437332914</v>
      </c>
      <c r="E53" s="74">
        <f t="shared" si="6"/>
        <v>50668.467109167192</v>
      </c>
      <c r="F53" s="74">
        <f t="shared" si="5"/>
        <v>76192.827546500106</v>
      </c>
      <c r="G53" s="74">
        <f t="shared" si="3"/>
        <v>2501767.5766241243</v>
      </c>
    </row>
    <row r="54" spans="1:9">
      <c r="A54" s="73"/>
      <c r="B54" s="73" t="s">
        <v>96</v>
      </c>
      <c r="C54" s="74">
        <f t="shared" si="4"/>
        <v>2501767.5766241243</v>
      </c>
      <c r="D54" s="74">
        <f t="shared" si="7"/>
        <v>25017.675766241242</v>
      </c>
      <c r="E54" s="74">
        <f t="shared" si="6"/>
        <v>51175.151780258864</v>
      </c>
      <c r="F54" s="74">
        <f t="shared" si="5"/>
        <v>76192.827546500106</v>
      </c>
      <c r="G54" s="74">
        <f t="shared" si="3"/>
        <v>2450592.4248438654</v>
      </c>
    </row>
    <row r="55" spans="1:9">
      <c r="A55" s="73"/>
      <c r="B55" s="73" t="s">
        <v>97</v>
      </c>
      <c r="C55" s="74">
        <f t="shared" si="4"/>
        <v>2450592.4248438654</v>
      </c>
      <c r="D55" s="74">
        <f t="shared" si="7"/>
        <v>24505.924248438652</v>
      </c>
      <c r="E55" s="74">
        <f t="shared" si="6"/>
        <v>51686.903298061457</v>
      </c>
      <c r="F55" s="74">
        <f t="shared" si="5"/>
        <v>76192.827546500106</v>
      </c>
      <c r="G55" s="74">
        <f t="shared" si="3"/>
        <v>2398905.5215458041</v>
      </c>
    </row>
    <row r="56" spans="1:9">
      <c r="A56" s="73"/>
      <c r="B56" s="73" t="s">
        <v>98</v>
      </c>
      <c r="C56" s="74">
        <f t="shared" si="4"/>
        <v>2398905.5215458041</v>
      </c>
      <c r="D56" s="74">
        <f t="shared" si="7"/>
        <v>23989.05521545804</v>
      </c>
      <c r="E56" s="74">
        <f t="shared" si="6"/>
        <v>52203.77233104207</v>
      </c>
      <c r="F56" s="74">
        <f t="shared" si="5"/>
        <v>76192.827546500106</v>
      </c>
      <c r="G56" s="74">
        <f t="shared" si="3"/>
        <v>2346701.7492147619</v>
      </c>
    </row>
    <row r="57" spans="1:9">
      <c r="A57" s="73"/>
      <c r="B57" s="73" t="s">
        <v>99</v>
      </c>
      <c r="C57" s="74">
        <f t="shared" si="4"/>
        <v>2346701.7492147619</v>
      </c>
      <c r="D57" s="74">
        <f t="shared" si="7"/>
        <v>23467.017492147617</v>
      </c>
      <c r="E57" s="74">
        <f t="shared" si="6"/>
        <v>52725.810054352492</v>
      </c>
      <c r="F57" s="74">
        <f t="shared" si="5"/>
        <v>76192.827546500106</v>
      </c>
      <c r="G57" s="74">
        <f t="shared" si="3"/>
        <v>2293975.9391604094</v>
      </c>
      <c r="H57" s="1"/>
      <c r="I57" s="1"/>
    </row>
    <row r="58" spans="1:9">
      <c r="A58" s="73" t="s">
        <v>15</v>
      </c>
      <c r="B58" s="73" t="s">
        <v>100</v>
      </c>
      <c r="C58" s="74">
        <f t="shared" si="4"/>
        <v>2293975.9391604094</v>
      </c>
      <c r="D58" s="74">
        <f t="shared" si="7"/>
        <v>22939.759391604093</v>
      </c>
      <c r="E58" s="74">
        <f t="shared" si="6"/>
        <v>53253.068154896013</v>
      </c>
      <c r="F58" s="74">
        <f t="shared" si="5"/>
        <v>76192.827546500106</v>
      </c>
      <c r="G58" s="74">
        <f t="shared" si="3"/>
        <v>2240722.8710055132</v>
      </c>
    </row>
    <row r="59" spans="1:9">
      <c r="A59" s="73"/>
      <c r="B59" s="73" t="s">
        <v>101</v>
      </c>
      <c r="C59" s="74">
        <f t="shared" si="4"/>
        <v>2240722.8710055132</v>
      </c>
      <c r="D59" s="74">
        <f t="shared" si="7"/>
        <v>22407.228710055133</v>
      </c>
      <c r="E59" s="74">
        <f t="shared" si="6"/>
        <v>53785.598836444973</v>
      </c>
      <c r="F59" s="74">
        <f t="shared" si="5"/>
        <v>76192.827546500106</v>
      </c>
      <c r="G59" s="74">
        <f t="shared" si="3"/>
        <v>2186937.2721690685</v>
      </c>
    </row>
    <row r="60" spans="1:9">
      <c r="A60" s="73"/>
      <c r="B60" s="73" t="s">
        <v>102</v>
      </c>
      <c r="C60" s="74">
        <f t="shared" si="4"/>
        <v>2186937.2721690685</v>
      </c>
      <c r="D60" s="74">
        <f t="shared" si="7"/>
        <v>21869.372721690685</v>
      </c>
      <c r="E60" s="74">
        <f t="shared" si="6"/>
        <v>54323.454824809422</v>
      </c>
      <c r="F60" s="74">
        <f t="shared" si="5"/>
        <v>76192.827546500106</v>
      </c>
      <c r="G60" s="74">
        <f t="shared" si="3"/>
        <v>2132613.817344259</v>
      </c>
    </row>
    <row r="61" spans="1:9">
      <c r="A61" s="73"/>
      <c r="B61" s="73" t="s">
        <v>103</v>
      </c>
      <c r="C61" s="74">
        <f t="shared" si="4"/>
        <v>2132613.817344259</v>
      </c>
      <c r="D61" s="74">
        <f t="shared" si="7"/>
        <v>21326.138173442589</v>
      </c>
      <c r="E61" s="74">
        <f t="shared" si="6"/>
        <v>54866.689373057518</v>
      </c>
      <c r="F61" s="74">
        <f t="shared" si="5"/>
        <v>76192.827546500106</v>
      </c>
      <c r="G61" s="74">
        <f t="shared" si="3"/>
        <v>2077747.1279712014</v>
      </c>
    </row>
    <row r="62" spans="1:9">
      <c r="A62" s="73"/>
      <c r="B62" s="73" t="s">
        <v>104</v>
      </c>
      <c r="C62" s="74">
        <f t="shared" si="4"/>
        <v>2077747.1279712014</v>
      </c>
      <c r="D62" s="74">
        <f t="shared" si="7"/>
        <v>20777.471279712012</v>
      </c>
      <c r="E62" s="74">
        <f t="shared" si="6"/>
        <v>55415.356266788091</v>
      </c>
      <c r="F62" s="74">
        <f t="shared" si="5"/>
        <v>76192.827546500106</v>
      </c>
      <c r="G62" s="74">
        <f t="shared" si="3"/>
        <v>2022331.7717044135</v>
      </c>
    </row>
    <row r="63" spans="1:9">
      <c r="A63" s="73"/>
      <c r="B63" s="73" t="s">
        <v>105</v>
      </c>
      <c r="C63" s="74">
        <f t="shared" si="4"/>
        <v>2022331.7717044135</v>
      </c>
      <c r="D63" s="74">
        <f t="shared" si="7"/>
        <v>20223.317717044134</v>
      </c>
      <c r="E63" s="74">
        <f t="shared" si="6"/>
        <v>55969.509829455972</v>
      </c>
      <c r="F63" s="74">
        <f t="shared" si="5"/>
        <v>76192.827546500106</v>
      </c>
      <c r="G63" s="74">
        <f t="shared" si="3"/>
        <v>1966362.2618749575</v>
      </c>
    </row>
    <row r="64" spans="1:9">
      <c r="A64" s="73"/>
      <c r="B64" s="73" t="s">
        <v>106</v>
      </c>
      <c r="C64" s="74">
        <f t="shared" si="4"/>
        <v>1966362.2618749575</v>
      </c>
      <c r="D64" s="74">
        <f t="shared" si="7"/>
        <v>19663.622618749574</v>
      </c>
      <c r="E64" s="74">
        <f t="shared" si="6"/>
        <v>56529.204927750528</v>
      </c>
      <c r="F64" s="74">
        <f t="shared" si="5"/>
        <v>76192.827546500106</v>
      </c>
      <c r="G64" s="74">
        <f t="shared" si="3"/>
        <v>1909833.0569472068</v>
      </c>
    </row>
    <row r="65" spans="1:9">
      <c r="A65" s="73"/>
      <c r="B65" s="73" t="s">
        <v>107</v>
      </c>
      <c r="C65" s="74">
        <f t="shared" si="4"/>
        <v>1909833.0569472068</v>
      </c>
      <c r="D65" s="74">
        <f t="shared" si="7"/>
        <v>19098.330569472066</v>
      </c>
      <c r="E65" s="74">
        <f t="shared" si="6"/>
        <v>57094.496977028044</v>
      </c>
      <c r="F65" s="74">
        <f t="shared" si="5"/>
        <v>76192.827546500106</v>
      </c>
      <c r="G65" s="74">
        <f t="shared" si="3"/>
        <v>1852738.5599701789</v>
      </c>
    </row>
    <row r="66" spans="1:9">
      <c r="A66" s="73"/>
      <c r="B66" s="73" t="s">
        <v>108</v>
      </c>
      <c r="C66" s="74">
        <f t="shared" si="4"/>
        <v>1852738.5599701789</v>
      </c>
      <c r="D66" s="74">
        <f t="shared" si="7"/>
        <v>18527.385599701789</v>
      </c>
      <c r="E66" s="74">
        <f t="shared" si="6"/>
        <v>57665.441946798317</v>
      </c>
      <c r="F66" s="74">
        <f t="shared" si="5"/>
        <v>76192.827546500106</v>
      </c>
      <c r="G66" s="74">
        <f t="shared" si="3"/>
        <v>1795073.1180233806</v>
      </c>
    </row>
    <row r="67" spans="1:9">
      <c r="A67" s="73"/>
      <c r="B67" s="73" t="s">
        <v>109</v>
      </c>
      <c r="C67" s="74">
        <f t="shared" si="4"/>
        <v>1795073.1180233806</v>
      </c>
      <c r="D67" s="74">
        <f t="shared" si="7"/>
        <v>17950.731180233804</v>
      </c>
      <c r="E67" s="74">
        <f t="shared" si="6"/>
        <v>58242.096366266298</v>
      </c>
      <c r="F67" s="74">
        <f t="shared" si="5"/>
        <v>76192.827546500106</v>
      </c>
      <c r="G67" s="74">
        <f t="shared" si="3"/>
        <v>1736831.0216571144</v>
      </c>
    </row>
    <row r="68" spans="1:9">
      <c r="A68" s="73"/>
      <c r="B68" s="73" t="s">
        <v>110</v>
      </c>
      <c r="C68" s="74">
        <f t="shared" si="4"/>
        <v>1736831.0216571144</v>
      </c>
      <c r="D68" s="74">
        <f t="shared" si="7"/>
        <v>17368.310216571143</v>
      </c>
      <c r="E68" s="74">
        <f t="shared" si="6"/>
        <v>58824.51732992896</v>
      </c>
      <c r="F68" s="74">
        <f t="shared" si="5"/>
        <v>76192.827546500106</v>
      </c>
      <c r="G68" s="74">
        <f t="shared" si="3"/>
        <v>1678006.5043271855</v>
      </c>
    </row>
    <row r="69" spans="1:9">
      <c r="A69" s="73"/>
      <c r="B69" s="73" t="s">
        <v>111</v>
      </c>
      <c r="C69" s="74">
        <f t="shared" si="4"/>
        <v>1678006.5043271855</v>
      </c>
      <c r="D69" s="74">
        <f t="shared" si="7"/>
        <v>16780.065043271854</v>
      </c>
      <c r="E69" s="74">
        <f t="shared" si="6"/>
        <v>59412.762503228252</v>
      </c>
      <c r="F69" s="74">
        <f t="shared" si="5"/>
        <v>76192.827546500106</v>
      </c>
      <c r="G69" s="74">
        <f t="shared" si="3"/>
        <v>1618593.7418239573</v>
      </c>
      <c r="H69" s="1"/>
      <c r="I69" s="1"/>
    </row>
    <row r="70" spans="1:9">
      <c r="A70" s="73" t="s">
        <v>16</v>
      </c>
      <c r="B70" s="73" t="s">
        <v>112</v>
      </c>
      <c r="C70" s="74">
        <f t="shared" si="4"/>
        <v>1618593.7418239573</v>
      </c>
      <c r="D70" s="74">
        <f t="shared" si="7"/>
        <v>16185.937418239571</v>
      </c>
      <c r="E70" s="74">
        <f t="shared" si="6"/>
        <v>60006.890128260537</v>
      </c>
      <c r="F70" s="74">
        <f t="shared" si="5"/>
        <v>76192.827546500106</v>
      </c>
      <c r="G70" s="74">
        <f t="shared" si="3"/>
        <v>1558586.8516956968</v>
      </c>
    </row>
    <row r="71" spans="1:9">
      <c r="A71" s="73"/>
      <c r="B71" s="73" t="s">
        <v>113</v>
      </c>
      <c r="C71" s="74">
        <f t="shared" si="4"/>
        <v>1558586.8516956968</v>
      </c>
      <c r="D71" s="74">
        <f t="shared" si="7"/>
        <v>15585.868516956967</v>
      </c>
      <c r="E71" s="74">
        <f t="shared" si="6"/>
        <v>60606.959029543141</v>
      </c>
      <c r="F71" s="74">
        <f t="shared" si="5"/>
        <v>76192.827546500106</v>
      </c>
      <c r="G71" s="74">
        <f t="shared" si="3"/>
        <v>1497979.8926661536</v>
      </c>
    </row>
    <row r="72" spans="1:9">
      <c r="A72" s="73"/>
      <c r="B72" s="73" t="s">
        <v>114</v>
      </c>
      <c r="C72" s="74">
        <f t="shared" si="4"/>
        <v>1497979.8926661536</v>
      </c>
      <c r="D72" s="74">
        <f t="shared" si="7"/>
        <v>14979.798926661535</v>
      </c>
      <c r="E72" s="74">
        <f t="shared" si="6"/>
        <v>61213.028619838573</v>
      </c>
      <c r="F72" s="74">
        <f t="shared" si="5"/>
        <v>76192.827546500106</v>
      </c>
      <c r="G72" s="74">
        <f t="shared" si="3"/>
        <v>1436766.864046315</v>
      </c>
    </row>
    <row r="73" spans="1:9">
      <c r="A73" s="73"/>
      <c r="B73" s="73" t="s">
        <v>115</v>
      </c>
      <c r="C73" s="74">
        <f t="shared" si="4"/>
        <v>1436766.864046315</v>
      </c>
      <c r="D73" s="74">
        <f t="shared" si="7"/>
        <v>14367.668640463149</v>
      </c>
      <c r="E73" s="74">
        <f t="shared" si="6"/>
        <v>61825.158906036959</v>
      </c>
      <c r="F73" s="74">
        <f t="shared" si="5"/>
        <v>76192.827546500106</v>
      </c>
      <c r="G73" s="74">
        <f t="shared" si="3"/>
        <v>1374941.705140278</v>
      </c>
    </row>
    <row r="74" spans="1:9">
      <c r="A74" s="73"/>
      <c r="B74" s="73" t="s">
        <v>116</v>
      </c>
      <c r="C74" s="74">
        <f t="shared" si="4"/>
        <v>1374941.705140278</v>
      </c>
      <c r="D74" s="74">
        <f t="shared" ref="D74:D93" si="8">C74*$D$5/12</f>
        <v>13749.417051402779</v>
      </c>
      <c r="E74" s="74">
        <f t="shared" si="6"/>
        <v>62443.410495097327</v>
      </c>
      <c r="F74" s="74">
        <f t="shared" si="5"/>
        <v>76192.827546500106</v>
      </c>
      <c r="G74" s="74">
        <f t="shared" si="3"/>
        <v>1312498.2946451807</v>
      </c>
    </row>
    <row r="75" spans="1:9">
      <c r="A75" s="73"/>
      <c r="B75" s="73" t="s">
        <v>117</v>
      </c>
      <c r="C75" s="74">
        <f t="shared" si="4"/>
        <v>1312498.2946451807</v>
      </c>
      <c r="D75" s="74">
        <f t="shared" si="8"/>
        <v>13124.982946451806</v>
      </c>
      <c r="E75" s="74">
        <f t="shared" si="6"/>
        <v>63067.844600048302</v>
      </c>
      <c r="F75" s="74">
        <f t="shared" ref="F75:F93" si="9">$D$8</f>
        <v>76192.827546500106</v>
      </c>
      <c r="G75" s="74">
        <f t="shared" ref="G75:G93" si="10">C75-E75</f>
        <v>1249430.4500451323</v>
      </c>
    </row>
    <row r="76" spans="1:9">
      <c r="A76" s="73"/>
      <c r="B76" s="73" t="s">
        <v>118</v>
      </c>
      <c r="C76" s="74">
        <f t="shared" ref="C76:C93" si="11">G75</f>
        <v>1249430.4500451323</v>
      </c>
      <c r="D76" s="74">
        <f t="shared" si="8"/>
        <v>12494.304500451324</v>
      </c>
      <c r="E76" s="74">
        <f t="shared" si="6"/>
        <v>63698.52304604878</v>
      </c>
      <c r="F76" s="74">
        <f t="shared" si="9"/>
        <v>76192.827546500106</v>
      </c>
      <c r="G76" s="74">
        <f t="shared" si="10"/>
        <v>1185731.9269990835</v>
      </c>
    </row>
    <row r="77" spans="1:9">
      <c r="A77" s="73"/>
      <c r="B77" s="73" t="s">
        <v>119</v>
      </c>
      <c r="C77" s="74">
        <f t="shared" si="11"/>
        <v>1185731.9269990835</v>
      </c>
      <c r="D77" s="74">
        <f t="shared" si="8"/>
        <v>11857.319269990834</v>
      </c>
      <c r="E77" s="74">
        <f t="shared" si="6"/>
        <v>64335.508276509274</v>
      </c>
      <c r="F77" s="74">
        <f t="shared" si="9"/>
        <v>76192.827546500106</v>
      </c>
      <c r="G77" s="74">
        <f t="shared" si="10"/>
        <v>1121396.4187225741</v>
      </c>
    </row>
    <row r="78" spans="1:9">
      <c r="A78" s="73"/>
      <c r="B78" s="73" t="s">
        <v>120</v>
      </c>
      <c r="C78" s="74">
        <f t="shared" si="11"/>
        <v>1121396.4187225741</v>
      </c>
      <c r="D78" s="74">
        <f t="shared" si="8"/>
        <v>11213.964187225742</v>
      </c>
      <c r="E78" s="74">
        <f t="shared" si="6"/>
        <v>64978.863359274364</v>
      </c>
      <c r="F78" s="74">
        <f t="shared" si="9"/>
        <v>76192.827546500106</v>
      </c>
      <c r="G78" s="74">
        <f t="shared" si="10"/>
        <v>1056417.5553632998</v>
      </c>
    </row>
    <row r="79" spans="1:9">
      <c r="A79" s="73"/>
      <c r="B79" s="73" t="s">
        <v>121</v>
      </c>
      <c r="C79" s="74">
        <f t="shared" si="11"/>
        <v>1056417.5553632998</v>
      </c>
      <c r="D79" s="74">
        <f t="shared" si="8"/>
        <v>10564.175553632997</v>
      </c>
      <c r="E79" s="74">
        <f t="shared" si="6"/>
        <v>65628.651992867104</v>
      </c>
      <c r="F79" s="74">
        <f t="shared" si="9"/>
        <v>76192.827546500106</v>
      </c>
      <c r="G79" s="74">
        <f t="shared" si="10"/>
        <v>990788.90337043267</v>
      </c>
    </row>
    <row r="80" spans="1:9">
      <c r="A80" s="73"/>
      <c r="B80" s="73" t="s">
        <v>122</v>
      </c>
      <c r="C80" s="74">
        <f t="shared" si="11"/>
        <v>990788.90337043267</v>
      </c>
      <c r="D80" s="74">
        <f t="shared" si="8"/>
        <v>9907.8890337043267</v>
      </c>
      <c r="E80" s="74">
        <f t="shared" si="6"/>
        <v>66284.938512795779</v>
      </c>
      <c r="F80" s="74">
        <f t="shared" si="9"/>
        <v>76192.827546500106</v>
      </c>
      <c r="G80" s="74">
        <f t="shared" si="10"/>
        <v>924503.96485763695</v>
      </c>
    </row>
    <row r="81" spans="1:9">
      <c r="A81" s="73"/>
      <c r="B81" s="73" t="s">
        <v>123</v>
      </c>
      <c r="C81" s="74">
        <f t="shared" si="11"/>
        <v>924503.96485763695</v>
      </c>
      <c r="D81" s="74">
        <f t="shared" si="8"/>
        <v>9245.0396485763686</v>
      </c>
      <c r="E81" s="74">
        <f t="shared" ref="E81:E93" si="12">F81-D81</f>
        <v>66947.787897923743</v>
      </c>
      <c r="F81" s="74">
        <f t="shared" si="9"/>
        <v>76192.827546500106</v>
      </c>
      <c r="G81" s="74">
        <f t="shared" si="10"/>
        <v>857556.17695971322</v>
      </c>
      <c r="H81" s="1"/>
      <c r="I81" s="1"/>
    </row>
    <row r="82" spans="1:9">
      <c r="A82" s="73" t="s">
        <v>277</v>
      </c>
      <c r="B82" s="73" t="s">
        <v>212</v>
      </c>
      <c r="C82" s="74">
        <f t="shared" si="11"/>
        <v>857556.17695971322</v>
      </c>
      <c r="D82" s="74">
        <f t="shared" si="8"/>
        <v>8575.5617695971323</v>
      </c>
      <c r="E82" s="74">
        <f t="shared" si="12"/>
        <v>67617.265776902976</v>
      </c>
      <c r="F82" s="74">
        <f t="shared" si="9"/>
        <v>76192.827546500106</v>
      </c>
      <c r="G82" s="74">
        <f t="shared" si="10"/>
        <v>789938.9111828102</v>
      </c>
    </row>
    <row r="83" spans="1:9">
      <c r="A83" s="73"/>
      <c r="B83" s="73" t="s">
        <v>213</v>
      </c>
      <c r="C83" s="74">
        <f t="shared" si="11"/>
        <v>789938.9111828102</v>
      </c>
      <c r="D83" s="74">
        <f t="shared" si="8"/>
        <v>7899.3891118281017</v>
      </c>
      <c r="E83" s="74">
        <f t="shared" si="12"/>
        <v>68293.438434672003</v>
      </c>
      <c r="F83" s="74">
        <f t="shared" si="9"/>
        <v>76192.827546500106</v>
      </c>
      <c r="G83" s="74">
        <f t="shared" si="10"/>
        <v>721645.47274813824</v>
      </c>
    </row>
    <row r="84" spans="1:9">
      <c r="A84" s="73"/>
      <c r="B84" s="73" t="s">
        <v>214</v>
      </c>
      <c r="C84" s="74">
        <f t="shared" si="11"/>
        <v>721645.47274813824</v>
      </c>
      <c r="D84" s="74">
        <f t="shared" si="8"/>
        <v>7216.4547274813822</v>
      </c>
      <c r="E84" s="74">
        <f t="shared" si="12"/>
        <v>68976.372819018725</v>
      </c>
      <c r="F84" s="74">
        <f t="shared" si="9"/>
        <v>76192.827546500106</v>
      </c>
      <c r="G84" s="74">
        <f t="shared" si="10"/>
        <v>652669.09992911946</v>
      </c>
    </row>
    <row r="85" spans="1:9">
      <c r="A85" s="73"/>
      <c r="B85" s="73" t="s">
        <v>215</v>
      </c>
      <c r="C85" s="74">
        <f t="shared" si="11"/>
        <v>652669.09992911946</v>
      </c>
      <c r="D85" s="74">
        <f t="shared" si="8"/>
        <v>6526.6909992911942</v>
      </c>
      <c r="E85" s="74">
        <f t="shared" si="12"/>
        <v>69666.136547208909</v>
      </c>
      <c r="F85" s="74">
        <f t="shared" si="9"/>
        <v>76192.827546500106</v>
      </c>
      <c r="G85" s="74">
        <f t="shared" si="10"/>
        <v>583002.96338191058</v>
      </c>
    </row>
    <row r="86" spans="1:9">
      <c r="A86" s="73"/>
      <c r="B86" s="73" t="s">
        <v>216</v>
      </c>
      <c r="C86" s="74">
        <f t="shared" si="11"/>
        <v>583002.96338191058</v>
      </c>
      <c r="D86" s="74">
        <f t="shared" si="8"/>
        <v>5830.0296338191065</v>
      </c>
      <c r="E86" s="74">
        <f t="shared" si="12"/>
        <v>70362.797912680995</v>
      </c>
      <c r="F86" s="74">
        <f t="shared" si="9"/>
        <v>76192.827546500106</v>
      </c>
      <c r="G86" s="74">
        <f t="shared" si="10"/>
        <v>512640.16546922957</v>
      </c>
    </row>
    <row r="87" spans="1:9">
      <c r="A87" s="73"/>
      <c r="B87" s="73" t="s">
        <v>217</v>
      </c>
      <c r="C87" s="74">
        <f t="shared" si="11"/>
        <v>512640.16546922957</v>
      </c>
      <c r="D87" s="74">
        <f t="shared" si="8"/>
        <v>5126.4016546922958</v>
      </c>
      <c r="E87" s="74">
        <f t="shared" si="12"/>
        <v>71066.425891807812</v>
      </c>
      <c r="F87" s="74">
        <f t="shared" si="9"/>
        <v>76192.827546500106</v>
      </c>
      <c r="G87" s="74">
        <f t="shared" si="10"/>
        <v>441573.73957742174</v>
      </c>
    </row>
    <row r="88" spans="1:9">
      <c r="A88" s="73"/>
      <c r="B88" s="73" t="s">
        <v>218</v>
      </c>
      <c r="C88" s="74">
        <f t="shared" si="11"/>
        <v>441573.73957742174</v>
      </c>
      <c r="D88" s="74">
        <f t="shared" si="8"/>
        <v>4415.7373957742175</v>
      </c>
      <c r="E88" s="74">
        <f t="shared" si="12"/>
        <v>71777.090150725882</v>
      </c>
      <c r="F88" s="74">
        <f t="shared" si="9"/>
        <v>76192.827546500106</v>
      </c>
      <c r="G88" s="74">
        <f t="shared" si="10"/>
        <v>369796.64942669589</v>
      </c>
    </row>
    <row r="89" spans="1:9">
      <c r="A89" s="73"/>
      <c r="B89" s="73" t="s">
        <v>219</v>
      </c>
      <c r="C89" s="74">
        <f t="shared" si="11"/>
        <v>369796.64942669589</v>
      </c>
      <c r="D89" s="74">
        <f t="shared" si="8"/>
        <v>3697.9664942669588</v>
      </c>
      <c r="E89" s="74">
        <f t="shared" si="12"/>
        <v>72494.861052233144</v>
      </c>
      <c r="F89" s="74">
        <f t="shared" si="9"/>
        <v>76192.827546500106</v>
      </c>
      <c r="G89" s="74">
        <f t="shared" si="10"/>
        <v>297301.78837446275</v>
      </c>
    </row>
    <row r="90" spans="1:9">
      <c r="A90" s="73"/>
      <c r="B90" s="73" t="s">
        <v>220</v>
      </c>
      <c r="C90" s="74">
        <f t="shared" si="11"/>
        <v>297301.78837446275</v>
      </c>
      <c r="D90" s="74">
        <f t="shared" si="8"/>
        <v>2973.0178837446274</v>
      </c>
      <c r="E90" s="74">
        <f t="shared" si="12"/>
        <v>73219.809662755477</v>
      </c>
      <c r="F90" s="74">
        <f t="shared" si="9"/>
        <v>76192.827546500106</v>
      </c>
      <c r="G90" s="74">
        <f t="shared" si="10"/>
        <v>224081.97871170728</v>
      </c>
    </row>
    <row r="91" spans="1:9">
      <c r="A91" s="73"/>
      <c r="B91" s="73" t="s">
        <v>221</v>
      </c>
      <c r="C91" s="74">
        <f t="shared" si="11"/>
        <v>224081.97871170728</v>
      </c>
      <c r="D91" s="74">
        <f t="shared" si="8"/>
        <v>2240.8197871170728</v>
      </c>
      <c r="E91" s="74">
        <f t="shared" si="12"/>
        <v>73952.007759383036</v>
      </c>
      <c r="F91" s="74">
        <f t="shared" si="9"/>
        <v>76192.827546500106</v>
      </c>
      <c r="G91" s="74">
        <f t="shared" si="10"/>
        <v>150129.97095232425</v>
      </c>
    </row>
    <row r="92" spans="1:9">
      <c r="A92" s="73"/>
      <c r="B92" s="73" t="s">
        <v>222</v>
      </c>
      <c r="C92" s="74">
        <f t="shared" si="11"/>
        <v>150129.97095232425</v>
      </c>
      <c r="D92" s="74">
        <f t="shared" si="8"/>
        <v>1501.2997095232424</v>
      </c>
      <c r="E92" s="74">
        <f t="shared" si="12"/>
        <v>74691.527836976864</v>
      </c>
      <c r="F92" s="74">
        <f t="shared" si="9"/>
        <v>76192.827546500106</v>
      </c>
      <c r="G92" s="74">
        <f t="shared" si="10"/>
        <v>75438.443115347385</v>
      </c>
    </row>
    <row r="93" spans="1:9">
      <c r="A93" s="73"/>
      <c r="B93" s="73" t="s">
        <v>223</v>
      </c>
      <c r="C93" s="74">
        <f t="shared" si="11"/>
        <v>75438.443115347385</v>
      </c>
      <c r="D93" s="74">
        <f t="shared" si="8"/>
        <v>754.38443115347388</v>
      </c>
      <c r="E93" s="74">
        <f t="shared" si="12"/>
        <v>75438.443115346628</v>
      </c>
      <c r="F93" s="74">
        <f t="shared" si="9"/>
        <v>76192.827546500106</v>
      </c>
      <c r="G93" s="74">
        <f t="shared" si="10"/>
        <v>7.5669959187507629E-10</v>
      </c>
    </row>
    <row r="94" spans="1:9">
      <c r="A94" s="72"/>
      <c r="B94" s="72"/>
      <c r="C94" s="72"/>
      <c r="D94" s="79">
        <f>SUM(D10:D93)</f>
        <v>2076820.5486270094</v>
      </c>
      <c r="E94" s="79">
        <f>SUM(E10:E93)</f>
        <v>4112999.9999999986</v>
      </c>
      <c r="F94" s="72"/>
      <c r="G94" s="72"/>
    </row>
    <row r="95" spans="1:9" ht="40" customHeight="1">
      <c r="A95" s="430" t="s">
        <v>408</v>
      </c>
      <c r="B95" s="430"/>
      <c r="C95" s="430"/>
      <c r="D95" s="430"/>
      <c r="E95" s="430"/>
      <c r="F95" s="430"/>
      <c r="G95" s="430"/>
      <c r="H95" s="430"/>
    </row>
    <row r="96" spans="1:9">
      <c r="A96" t="s">
        <v>530</v>
      </c>
    </row>
    <row r="97" spans="1:2">
      <c r="A97">
        <v>1</v>
      </c>
      <c r="B97" t="s">
        <v>531</v>
      </c>
    </row>
    <row r="98" spans="1:2">
      <c r="A98">
        <v>2</v>
      </c>
      <c r="B98" t="s">
        <v>532</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D37" zoomScale="80" zoomScaleSheetLayoutView="80" workbookViewId="0">
      <selection activeCell="E56" sqref="E56:K57"/>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411" t="s">
        <v>554</v>
      </c>
      <c r="D2" s="411"/>
      <c r="E2" s="411"/>
      <c r="F2" s="411"/>
      <c r="G2" s="411"/>
      <c r="H2" s="411"/>
      <c r="I2" s="411"/>
      <c r="J2" s="411"/>
      <c r="K2" s="411"/>
      <c r="L2" s="174"/>
    </row>
    <row r="4" spans="3:22">
      <c r="C4" s="64" t="s">
        <v>0</v>
      </c>
      <c r="D4" s="64"/>
      <c r="E4" s="65" t="s">
        <v>2</v>
      </c>
      <c r="F4" s="65" t="s">
        <v>3</v>
      </c>
      <c r="G4" s="65" t="s">
        <v>4</v>
      </c>
      <c r="H4" s="65" t="s">
        <v>5</v>
      </c>
      <c r="I4" s="65" t="s">
        <v>6</v>
      </c>
      <c r="J4" s="65" t="s">
        <v>169</v>
      </c>
      <c r="K4" s="65" t="s">
        <v>168</v>
      </c>
      <c r="L4" s="72"/>
      <c r="M4" s="72"/>
      <c r="N4" s="208"/>
      <c r="O4" s="208"/>
      <c r="P4" s="208"/>
      <c r="Q4" s="208"/>
      <c r="R4" s="208"/>
      <c r="S4" s="208"/>
      <c r="T4" s="208"/>
      <c r="U4" s="208"/>
      <c r="V4" s="208"/>
    </row>
    <row r="5" spans="3:22">
      <c r="C5" s="73" t="s">
        <v>362</v>
      </c>
      <c r="D5" s="73"/>
      <c r="E5" s="73"/>
      <c r="F5" s="73"/>
      <c r="G5" s="73"/>
      <c r="H5" s="73"/>
      <c r="I5" s="73"/>
      <c r="J5" s="73"/>
      <c r="K5" s="73"/>
      <c r="L5" s="72"/>
      <c r="M5" s="72"/>
      <c r="N5" s="441" t="s">
        <v>527</v>
      </c>
      <c r="O5" s="441"/>
      <c r="P5" s="441"/>
      <c r="Q5" s="441"/>
      <c r="R5" s="441"/>
      <c r="S5" s="208"/>
      <c r="T5" s="208"/>
      <c r="U5" s="441" t="s">
        <v>528</v>
      </c>
      <c r="V5" s="441"/>
    </row>
    <row r="6" spans="3:22">
      <c r="C6" s="73" t="s">
        <v>363</v>
      </c>
      <c r="D6" s="160"/>
      <c r="E6" s="73"/>
      <c r="F6" s="74">
        <f t="shared" ref="F6:K9" si="0">E15</f>
        <v>0</v>
      </c>
      <c r="G6" s="74">
        <f t="shared" si="0"/>
        <v>0</v>
      </c>
      <c r="H6" s="74">
        <f t="shared" si="0"/>
        <v>0</v>
      </c>
      <c r="I6" s="74">
        <f t="shared" si="0"/>
        <v>0</v>
      </c>
      <c r="J6" s="74">
        <f t="shared" si="0"/>
        <v>0</v>
      </c>
      <c r="K6" s="74">
        <f t="shared" si="0"/>
        <v>0</v>
      </c>
      <c r="L6" s="72"/>
      <c r="M6" s="72"/>
      <c r="N6" s="440" t="s">
        <v>529</v>
      </c>
      <c r="O6" s="440"/>
      <c r="P6" s="440"/>
      <c r="Q6" s="440"/>
      <c r="R6" s="440"/>
      <c r="S6" s="208"/>
      <c r="T6" s="208"/>
      <c r="U6" s="440" t="s">
        <v>529</v>
      </c>
      <c r="V6" s="440"/>
    </row>
    <row r="7" spans="3:22">
      <c r="C7" s="73" t="s">
        <v>444</v>
      </c>
      <c r="D7" s="160"/>
      <c r="E7" s="73"/>
      <c r="F7" s="74">
        <f t="shared" si="0"/>
        <v>578263.68000000005</v>
      </c>
      <c r="G7" s="74">
        <f t="shared" si="0"/>
        <v>657774.93599999999</v>
      </c>
      <c r="H7" s="74">
        <f t="shared" si="0"/>
        <v>743791.65840000019</v>
      </c>
      <c r="I7" s="74">
        <f t="shared" si="0"/>
        <v>836765.6157000002</v>
      </c>
      <c r="J7" s="74">
        <f t="shared" si="0"/>
        <v>937177.48958400032</v>
      </c>
      <c r="K7" s="74">
        <f t="shared" si="0"/>
        <v>1045538.6368171503</v>
      </c>
      <c r="L7" s="72"/>
      <c r="M7" s="72"/>
      <c r="N7" s="209" t="s">
        <v>0</v>
      </c>
      <c r="O7" s="209" t="s">
        <v>163</v>
      </c>
      <c r="P7" s="209" t="s">
        <v>164</v>
      </c>
      <c r="Q7" s="209" t="s">
        <v>311</v>
      </c>
      <c r="R7" s="209" t="s">
        <v>312</v>
      </c>
      <c r="S7" s="208"/>
      <c r="T7" s="208"/>
      <c r="U7" s="277" t="s">
        <v>0</v>
      </c>
      <c r="V7" s="277" t="s">
        <v>483</v>
      </c>
    </row>
    <row r="8" spans="3:22">
      <c r="C8" s="73" t="s">
        <v>545</v>
      </c>
      <c r="D8" s="160"/>
      <c r="E8" s="73"/>
      <c r="F8" s="74">
        <f t="shared" si="0"/>
        <v>0</v>
      </c>
      <c r="G8" s="74">
        <f t="shared" si="0"/>
        <v>0</v>
      </c>
      <c r="H8" s="74">
        <f t="shared" si="0"/>
        <v>0</v>
      </c>
      <c r="I8" s="74">
        <f t="shared" si="0"/>
        <v>0</v>
      </c>
      <c r="J8" s="74">
        <f t="shared" si="0"/>
        <v>0</v>
      </c>
      <c r="K8" s="74">
        <f t="shared" si="0"/>
        <v>0</v>
      </c>
      <c r="L8" s="72"/>
      <c r="M8" s="72"/>
      <c r="N8" s="210" t="s">
        <v>364</v>
      </c>
      <c r="O8" s="210">
        <f>'13.Facility 2 Grain Processing'!C150</f>
        <v>9200</v>
      </c>
      <c r="P8" s="210">
        <f>'13.Facility 2 Grain Processing'!C151</f>
        <v>6500</v>
      </c>
      <c r="Q8" s="210">
        <f>'13.Facility 2 Grain Processing'!C152</f>
        <v>7500</v>
      </c>
      <c r="R8" s="210" t="e">
        <f>'13.Facility 2 Grain Processing'!#REF!</f>
        <v>#REF!</v>
      </c>
      <c r="S8" s="208"/>
      <c r="T8" s="208"/>
      <c r="U8" s="210" t="s">
        <v>338</v>
      </c>
      <c r="V8" s="210">
        <f>'17.Facility 6 Horti Processing '!C163</f>
        <v>6000</v>
      </c>
    </row>
    <row r="9" spans="3:22">
      <c r="C9" s="73" t="str">
        <f>C18</f>
        <v xml:space="preserve">Horticulture Processing </v>
      </c>
      <c r="D9" s="73"/>
      <c r="E9" s="73"/>
      <c r="F9" s="74">
        <f>E18</f>
        <v>0</v>
      </c>
      <c r="G9" s="74">
        <f t="shared" si="0"/>
        <v>0</v>
      </c>
      <c r="H9" s="74">
        <f t="shared" si="0"/>
        <v>0</v>
      </c>
      <c r="I9" s="74">
        <f t="shared" si="0"/>
        <v>0</v>
      </c>
      <c r="J9" s="74">
        <f t="shared" si="0"/>
        <v>0</v>
      </c>
      <c r="K9" s="74">
        <f t="shared" si="0"/>
        <v>0</v>
      </c>
      <c r="L9" s="72"/>
      <c r="M9" s="72"/>
      <c r="N9" s="210" t="e">
        <f>'13.Facility 2 Grain Processing'!#REF!</f>
        <v>#REF!</v>
      </c>
      <c r="O9" s="210" t="e">
        <f>('13.Facility 2 Grain Processing'!#REF!*'13.Facility 2 Grain Processing'!#REF!/1000)*100</f>
        <v>#REF!</v>
      </c>
      <c r="P9" s="210" t="e">
        <f>O9</f>
        <v>#REF!</v>
      </c>
      <c r="Q9" s="210" t="e">
        <f t="shared" ref="Q9:R9" si="1">P9</f>
        <v>#REF!</v>
      </c>
      <c r="R9" s="210" t="e">
        <f t="shared" si="1"/>
        <v>#REF!</v>
      </c>
      <c r="S9" s="208"/>
      <c r="T9" s="208"/>
      <c r="U9" s="210" t="str">
        <f>'17.Facility 6 Horti Processing '!A164</f>
        <v>Other Consumbales</v>
      </c>
      <c r="V9" s="211">
        <f>'17.Facility 6 Horti Processing '!C164</f>
        <v>2000</v>
      </c>
    </row>
    <row r="10" spans="3:22">
      <c r="C10" s="73"/>
      <c r="D10" s="73"/>
      <c r="E10" s="73"/>
      <c r="F10" s="74"/>
      <c r="G10" s="74"/>
      <c r="H10" s="74"/>
      <c r="I10" s="74"/>
      <c r="J10" s="74"/>
      <c r="K10" s="74"/>
      <c r="L10" s="72"/>
      <c r="M10" s="72"/>
      <c r="N10" s="210" t="str">
        <f>'13.Facility 2 Grain Processing'!A153</f>
        <v xml:space="preserve">Daily Labour </v>
      </c>
      <c r="O10" s="212">
        <f>('13.Facility 2 Grain Processing'!B153*'13.Facility 2 Grain Processing'!C153)/('13.Facility 2 Grain Processing'!B5*'13.Facility 2 Grain Processing'!B6)</f>
        <v>0</v>
      </c>
      <c r="P10" s="212">
        <f>O10</f>
        <v>0</v>
      </c>
      <c r="Q10" s="212">
        <f t="shared" ref="Q10:R10" si="2">P10</f>
        <v>0</v>
      </c>
      <c r="R10" s="212">
        <f t="shared" si="2"/>
        <v>0</v>
      </c>
      <c r="S10" s="208"/>
      <c r="T10" s="208"/>
      <c r="U10" s="210" t="str">
        <f>'17.Facility 6 Horti Processing '!A165</f>
        <v xml:space="preserve">Daily Labour </v>
      </c>
      <c r="V10" s="211">
        <f>'17.Facility 6 Horti Processing '!B165*'17.Facility 6 Horti Processing '!C165/('17.Facility 6 Horti Processing '!B5*'17.Facility 6 Horti Processing '!B6)</f>
        <v>187.5</v>
      </c>
    </row>
    <row r="11" spans="3:22">
      <c r="C11" s="73"/>
      <c r="D11" s="73"/>
      <c r="E11" s="73"/>
      <c r="F11" s="74"/>
      <c r="G11" s="74"/>
      <c r="H11" s="74"/>
      <c r="I11" s="74"/>
      <c r="J11" s="74"/>
      <c r="K11" s="74"/>
      <c r="L11" s="72"/>
      <c r="M11" s="72"/>
      <c r="N11" s="210" t="str">
        <f>'13.Facility 2 Grain Processing'!A154</f>
        <v>Electricity Charges</v>
      </c>
      <c r="O11" s="212">
        <f>('13.Facility 2 Grain Processing'!B154*'13.Facility 2 Grain Processing'!C154)/('13.Facility 2 Grain Processing'!B5*'13.Facility 2 Grain Processing'!B6)</f>
        <v>0</v>
      </c>
      <c r="P11" s="212">
        <f>O11</f>
        <v>0</v>
      </c>
      <c r="Q11" s="212">
        <f t="shared" ref="Q11" si="3">P11</f>
        <v>0</v>
      </c>
      <c r="R11" s="212">
        <f t="shared" ref="R11" si="4">Q11</f>
        <v>0</v>
      </c>
      <c r="S11" s="208"/>
      <c r="T11" s="208"/>
      <c r="U11" s="210" t="str">
        <f>'17.Facility 6 Horti Processing '!A166</f>
        <v>Electricity Charges</v>
      </c>
      <c r="V11" s="210">
        <f>'17.Facility 6 Horti Processing '!B166*'17.Facility 6 Horti Processing '!C166/('17.Facility 6 Horti Processing '!B5*'17.Facility 6 Horti Processing '!B6)</f>
        <v>0</v>
      </c>
    </row>
    <row r="12" spans="3:22">
      <c r="C12" s="73" t="s">
        <v>1</v>
      </c>
      <c r="D12" s="73"/>
      <c r="E12" s="74"/>
      <c r="F12" s="74">
        <f t="shared" ref="F12:K12" si="5">SUM(F6:F11)</f>
        <v>578263.68000000005</v>
      </c>
      <c r="G12" s="74">
        <f t="shared" si="5"/>
        <v>657774.93599999999</v>
      </c>
      <c r="H12" s="74">
        <f t="shared" si="5"/>
        <v>743791.65840000019</v>
      </c>
      <c r="I12" s="74">
        <f t="shared" si="5"/>
        <v>836765.6157000002</v>
      </c>
      <c r="J12" s="74">
        <f t="shared" si="5"/>
        <v>937177.48958400032</v>
      </c>
      <c r="K12" s="74">
        <f t="shared" si="5"/>
        <v>1045538.6368171503</v>
      </c>
      <c r="L12" s="72"/>
      <c r="M12" s="72"/>
      <c r="N12" s="210" t="str">
        <f>'13.Facility 2 Grain Processing'!A155</f>
        <v>Loading/Unloading Charges</v>
      </c>
      <c r="O12" s="210">
        <f>'13.Facility 2 Grain Processing'!C155*2</f>
        <v>40</v>
      </c>
      <c r="P12" s="210">
        <f>O12</f>
        <v>40</v>
      </c>
      <c r="Q12" s="210">
        <f t="shared" ref="Q12:R13" si="6">P12</f>
        <v>40</v>
      </c>
      <c r="R12" s="210">
        <f t="shared" si="6"/>
        <v>40</v>
      </c>
      <c r="S12" s="208"/>
      <c r="T12" s="208"/>
      <c r="U12" s="210" t="str">
        <f>'17.Facility 6 Horti Processing '!A167</f>
        <v>Loading/Unloading Charges</v>
      </c>
      <c r="V12" s="210">
        <f>'17.Facility 6 Horti Processing '!C167</f>
        <v>10</v>
      </c>
    </row>
    <row r="13" spans="3:22">
      <c r="C13" s="73"/>
      <c r="D13" s="73"/>
      <c r="E13" s="73"/>
      <c r="F13" s="74"/>
      <c r="G13" s="74"/>
      <c r="H13" s="74"/>
      <c r="I13" s="74"/>
      <c r="J13" s="74"/>
      <c r="K13" s="74"/>
      <c r="L13" s="72"/>
      <c r="M13" s="72"/>
      <c r="N13" s="210" t="str">
        <f>'13.Facility 2 Grain Processing'!A157</f>
        <v>packaging Exp- Oil Packaging</v>
      </c>
      <c r="O13" s="210">
        <f>'13.Facility 2 Grain Processing'!C157*2</f>
        <v>80</v>
      </c>
      <c r="P13" s="210">
        <f>O13</f>
        <v>80</v>
      </c>
      <c r="Q13" s="210">
        <f t="shared" si="6"/>
        <v>80</v>
      </c>
      <c r="R13" s="210">
        <f t="shared" si="6"/>
        <v>80</v>
      </c>
      <c r="S13" s="208"/>
      <c r="T13" s="208"/>
      <c r="U13" s="210" t="str">
        <f>'17.Facility 6 Horti Processing '!A168</f>
        <v>packaging Exp</v>
      </c>
      <c r="V13" s="9">
        <f>'17.Facility 6 Horti Processing '!C168*100</f>
        <v>200</v>
      </c>
    </row>
    <row r="14" spans="3:22">
      <c r="C14" s="75" t="s">
        <v>340</v>
      </c>
      <c r="D14" s="73"/>
      <c r="E14" s="73"/>
      <c r="F14" s="74"/>
      <c r="G14" s="74"/>
      <c r="H14" s="74"/>
      <c r="I14" s="74"/>
      <c r="J14" s="74"/>
      <c r="K14" s="74"/>
      <c r="L14" s="72"/>
      <c r="M14" s="72"/>
      <c r="N14" s="210"/>
      <c r="O14" s="9"/>
      <c r="P14" s="9"/>
      <c r="Q14" s="9"/>
      <c r="R14" s="9"/>
      <c r="S14" s="208"/>
      <c r="T14" s="208"/>
      <c r="U14" s="9"/>
      <c r="V14" s="9"/>
    </row>
    <row r="15" spans="3:22">
      <c r="C15" s="73" t="str">
        <f>C6</f>
        <v>Agri Input</v>
      </c>
      <c r="D15" s="233">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tr">
        <f>C7</f>
        <v>Trading</v>
      </c>
      <c r="D16" s="233">
        <v>0.01</v>
      </c>
      <c r="E16" s="74">
        <f>SUM('12.Facility 1 - Trading'!D188:D198)*$D$16</f>
        <v>578263.68000000005</v>
      </c>
      <c r="F16" s="74">
        <f>SUM('12.Facility 1 - Trading'!E188:E198)*$D$16</f>
        <v>657774.93599999999</v>
      </c>
      <c r="G16" s="74">
        <f>SUM('12.Facility 1 - Trading'!F188:F198)*$D$16</f>
        <v>743791.65840000019</v>
      </c>
      <c r="H16" s="74">
        <f>SUM('12.Facility 1 - Trading'!G188:G198)*$D$16</f>
        <v>836765.6157000002</v>
      </c>
      <c r="I16" s="74">
        <f>SUM('12.Facility 1 - Trading'!H188:H198)*$D$16</f>
        <v>937177.48958400032</v>
      </c>
      <c r="J16" s="74">
        <f>SUM('12.Facility 1 - Trading'!I188:I198)*$D$16</f>
        <v>1045538.6368171503</v>
      </c>
      <c r="K16" s="74">
        <f>SUM('12.Facility 1 - Trading'!J188:J198)*$D$16</f>
        <v>1162392.9550496559</v>
      </c>
      <c r="L16" s="72"/>
      <c r="M16" s="72"/>
      <c r="N16" s="209" t="s">
        <v>365</v>
      </c>
      <c r="O16" s="213" t="e">
        <f>SUM(O8:O13)</f>
        <v>#REF!</v>
      </c>
      <c r="P16" s="213" t="e">
        <f>SUM(P8:P13)</f>
        <v>#REF!</v>
      </c>
      <c r="Q16" s="213" t="e">
        <f>SUM(Q8:Q13)</f>
        <v>#REF!</v>
      </c>
      <c r="R16" s="213" t="e">
        <f>SUM(R8:R13)</f>
        <v>#REF!</v>
      </c>
      <c r="U16" s="209" t="s">
        <v>1</v>
      </c>
      <c r="V16" s="213">
        <f>SUM(V8:V15)</f>
        <v>8397.5</v>
      </c>
    </row>
    <row r="17" spans="1:18">
      <c r="C17" s="73" t="str">
        <f>C8</f>
        <v xml:space="preserve">Grain Processing </v>
      </c>
      <c r="D17" s="233">
        <v>0.05</v>
      </c>
      <c r="E17" s="74">
        <f>SUM('13.Facility 2 Grain Processing'!D150:D163)*$D$17</f>
        <v>0</v>
      </c>
      <c r="F17" s="74">
        <f>SUM('13.Facility 2 Grain Processing'!E150:E163)*$D$17</f>
        <v>0</v>
      </c>
      <c r="G17" s="74">
        <f>SUM('13.Facility 2 Grain Processing'!F150:F163)*$D$17</f>
        <v>0</v>
      </c>
      <c r="H17" s="74">
        <f>SUM('13.Facility 2 Grain Processing'!G150:G163)*$D$17</f>
        <v>0</v>
      </c>
      <c r="I17" s="74">
        <f>SUM('13.Facility 2 Grain Processing'!H150:H163)*$D$17</f>
        <v>0</v>
      </c>
      <c r="J17" s="74">
        <f>SUM('13.Facility 2 Grain Processing'!I150:I163)*$D$17</f>
        <v>0</v>
      </c>
      <c r="K17" s="74">
        <f>SUM('13.Facility 2 Grain Processing'!J150:J163)*$D$17</f>
        <v>0</v>
      </c>
      <c r="L17" s="72"/>
      <c r="M17" s="72"/>
    </row>
    <row r="18" spans="1:18">
      <c r="C18" s="73" t="s">
        <v>514</v>
      </c>
      <c r="D18" s="233">
        <v>0.05</v>
      </c>
      <c r="E18" s="74">
        <f>SUM('17.Facility 6 Horti Processing '!D163:D173)*$D$18</f>
        <v>0</v>
      </c>
      <c r="F18" s="74">
        <f>SUM('17.Facility 6 Horti Processing '!E163:E173)*$D$18</f>
        <v>0</v>
      </c>
      <c r="G18" s="74">
        <f>SUM('17.Facility 6 Horti Processing '!F163:F173)*$D$18</f>
        <v>0</v>
      </c>
      <c r="H18" s="74">
        <f>SUM('17.Facility 6 Horti Processing '!G163:G173)*$D$18</f>
        <v>0</v>
      </c>
      <c r="I18" s="74">
        <f>SUM('17.Facility 6 Horti Processing '!H163:H173)*$D$18</f>
        <v>0</v>
      </c>
      <c r="J18" s="74">
        <f>SUM('17.Facility 6 Horti Processing '!I163:I173)*$D$18</f>
        <v>0</v>
      </c>
      <c r="K18" s="74">
        <f>SUM('17.Facility 6 Horti Processing '!J163:J173)*$D$18</f>
        <v>0</v>
      </c>
      <c r="L18" s="72"/>
      <c r="M18" s="72"/>
    </row>
    <row r="19" spans="1:18">
      <c r="C19" s="73"/>
      <c r="D19" s="206"/>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68">
        <f t="shared" ref="E21:K21" si="7">SUM(E15:E20)</f>
        <v>578263.68000000005</v>
      </c>
      <c r="F21" s="168">
        <f t="shared" si="7"/>
        <v>657774.93599999999</v>
      </c>
      <c r="G21" s="168">
        <f t="shared" si="7"/>
        <v>743791.65840000019</v>
      </c>
      <c r="H21" s="168">
        <f t="shared" si="7"/>
        <v>836765.6157000002</v>
      </c>
      <c r="I21" s="168">
        <f t="shared" si="7"/>
        <v>937177.48958400032</v>
      </c>
      <c r="J21" s="168">
        <f t="shared" si="7"/>
        <v>1045538.6368171503</v>
      </c>
      <c r="K21" s="168">
        <f t="shared" si="7"/>
        <v>1162392.9550496559</v>
      </c>
      <c r="L21" s="72"/>
      <c r="M21" s="72"/>
    </row>
    <row r="22" spans="1:18">
      <c r="C22" s="72"/>
      <c r="D22" s="72"/>
      <c r="E22" s="316"/>
      <c r="F22" s="252"/>
      <c r="G22" s="252"/>
      <c r="H22" s="252"/>
      <c r="I22" s="252"/>
      <c r="J22" s="252"/>
      <c r="K22" s="252"/>
      <c r="L22" s="72"/>
      <c r="M22" s="72"/>
    </row>
    <row r="23" spans="1:18">
      <c r="C23" s="72"/>
      <c r="D23" s="72"/>
      <c r="E23" s="72"/>
      <c r="F23" s="316"/>
      <c r="G23" s="316"/>
      <c r="H23" s="316"/>
      <c r="I23" s="316"/>
      <c r="J23" s="316"/>
      <c r="K23" s="316"/>
      <c r="L23" s="72"/>
      <c r="M23" s="72"/>
    </row>
    <row r="24" spans="1:18" ht="41.15" customHeight="1">
      <c r="A24" s="442" t="s">
        <v>409</v>
      </c>
      <c r="B24" s="442"/>
      <c r="C24" s="442"/>
      <c r="D24" s="442"/>
      <c r="E24" s="442"/>
      <c r="F24" s="442"/>
      <c r="G24" s="442"/>
      <c r="H24" s="442"/>
      <c r="I24" s="442"/>
      <c r="J24" s="442"/>
      <c r="K24" s="442"/>
      <c r="L24" s="276"/>
      <c r="M24" s="276"/>
      <c r="N24" s="276"/>
      <c r="O24" s="241"/>
      <c r="P24" s="241"/>
      <c r="Q24" s="241"/>
      <c r="R24" s="241"/>
    </row>
    <row r="25" spans="1:18">
      <c r="A25" t="s">
        <v>530</v>
      </c>
    </row>
    <row r="26" spans="1:18">
      <c r="A26">
        <v>1</v>
      </c>
      <c r="B26" t="s">
        <v>533</v>
      </c>
    </row>
    <row r="29" spans="1:18" ht="17.5">
      <c r="B29" s="411" t="s">
        <v>555</v>
      </c>
      <c r="C29" s="411"/>
      <c r="D29" s="411"/>
      <c r="E29" s="411"/>
      <c r="F29" s="411"/>
      <c r="G29" s="411"/>
      <c r="H29" s="411"/>
      <c r="I29" s="411"/>
      <c r="J29" s="411"/>
      <c r="K29" s="411"/>
    </row>
    <row r="31" spans="1:18">
      <c r="B31" s="433" t="s">
        <v>146</v>
      </c>
      <c r="C31" s="433" t="s">
        <v>0</v>
      </c>
      <c r="D31" s="436" t="s">
        <v>361</v>
      </c>
      <c r="E31" s="438" t="s">
        <v>158</v>
      </c>
      <c r="F31" s="439"/>
      <c r="G31" s="439"/>
      <c r="H31" s="439"/>
      <c r="I31" s="439"/>
      <c r="J31" s="439"/>
      <c r="K31" s="439"/>
    </row>
    <row r="32" spans="1:18">
      <c r="B32" s="433"/>
      <c r="C32" s="433"/>
      <c r="D32" s="437"/>
      <c r="E32" s="179" t="s">
        <v>2</v>
      </c>
      <c r="F32" s="179" t="s">
        <v>3</v>
      </c>
      <c r="G32" s="179" t="s">
        <v>4</v>
      </c>
      <c r="H32" s="179" t="s">
        <v>5</v>
      </c>
      <c r="I32" s="179" t="s">
        <v>6</v>
      </c>
      <c r="J32" s="179" t="s">
        <v>169</v>
      </c>
      <c r="K32" s="179" t="s">
        <v>168</v>
      </c>
    </row>
    <row r="33" spans="2:11">
      <c r="B33" s="182"/>
      <c r="C33" s="183"/>
      <c r="D33" s="183"/>
      <c r="E33" s="184"/>
      <c r="F33" s="184"/>
      <c r="G33" s="184"/>
      <c r="H33" s="184"/>
      <c r="I33" s="184"/>
      <c r="J33" s="184"/>
      <c r="K33" s="184"/>
    </row>
    <row r="34" spans="2:11">
      <c r="B34" s="185" t="s">
        <v>173</v>
      </c>
      <c r="C34" s="186" t="s">
        <v>341</v>
      </c>
      <c r="D34" s="196"/>
      <c r="E34" s="187"/>
      <c r="F34" s="187"/>
      <c r="G34" s="187"/>
      <c r="H34" s="187"/>
      <c r="I34" s="187"/>
      <c r="J34" s="187"/>
      <c r="K34" s="187"/>
    </row>
    <row r="35" spans="2:11">
      <c r="B35" s="229">
        <v>1</v>
      </c>
      <c r="C35" s="188" t="s">
        <v>363</v>
      </c>
      <c r="D35" s="196">
        <v>14</v>
      </c>
      <c r="E35" s="187">
        <f>('16.Facility 5 Agri Input'!D191/365)*$D$35</f>
        <v>0</v>
      </c>
      <c r="F35" s="187">
        <f>('16.Facility 5 Agri Input'!E191/365)*$D$35</f>
        <v>0</v>
      </c>
      <c r="G35" s="187">
        <f>('16.Facility 5 Agri Input'!F191/365)*$D$35</f>
        <v>0</v>
      </c>
      <c r="H35" s="187">
        <f>('16.Facility 5 Agri Input'!G191/365)*$D$35</f>
        <v>0</v>
      </c>
      <c r="I35" s="187">
        <f>('16.Facility 5 Agri Input'!H191/365)*$D$35</f>
        <v>0</v>
      </c>
      <c r="J35" s="187">
        <f>('16.Facility 5 Agri Input'!I191/365)*$D$35</f>
        <v>0</v>
      </c>
      <c r="K35" s="187">
        <f>('16.Facility 5 Agri Input'!J191/365)*$D$35</f>
        <v>0</v>
      </c>
    </row>
    <row r="36" spans="2:11">
      <c r="B36" s="229">
        <v>2</v>
      </c>
      <c r="C36" s="188" t="s">
        <v>358</v>
      </c>
      <c r="D36" s="196">
        <v>14</v>
      </c>
      <c r="E36" s="187">
        <f>('15. Facility 4 Custom Hiring'!E37/365)*$D$36</f>
        <v>0</v>
      </c>
      <c r="F36" s="187">
        <f>('15. Facility 4 Custom Hiring'!F37/365)*$D$36</f>
        <v>0</v>
      </c>
      <c r="G36" s="187">
        <f>('15. Facility 4 Custom Hiring'!G37/365)*$D$36</f>
        <v>0</v>
      </c>
      <c r="H36" s="187">
        <f>('15. Facility 4 Custom Hiring'!H37/365)*$D$36</f>
        <v>0</v>
      </c>
      <c r="I36" s="187">
        <f>('15. Facility 4 Custom Hiring'!I37/365)*$D$36</f>
        <v>0</v>
      </c>
      <c r="J36" s="187">
        <f>('15. Facility 4 Custom Hiring'!J37/365)*$D$36</f>
        <v>0</v>
      </c>
      <c r="K36" s="187">
        <f>('15. Facility 4 Custom Hiring'!K37/365)*$D$36</f>
        <v>0</v>
      </c>
    </row>
    <row r="37" spans="2:11">
      <c r="B37" s="229">
        <v>3</v>
      </c>
      <c r="C37" s="188" t="s">
        <v>444</v>
      </c>
      <c r="D37" s="196">
        <v>14</v>
      </c>
      <c r="E37" s="187">
        <f>('12.Facility 1 - Trading'!D184/365)*$D$37</f>
        <v>2321386.110246575</v>
      </c>
      <c r="F37" s="187">
        <f>('12.Facility 1 - Trading'!E184/365)*$D$37</f>
        <v>2665197.4621808226</v>
      </c>
      <c r="G37" s="187">
        <f>('12.Facility 1 - Trading'!F184/365)*$D$37</f>
        <v>3013889.0008241106</v>
      </c>
      <c r="H37" s="187">
        <f>('12.Facility 1 - Trading'!G184/365)*$D$37</f>
        <v>3390786.6996762743</v>
      </c>
      <c r="I37" s="187">
        <f>('12.Facility 1 - Trading'!H184/365)*$D$37</f>
        <v>3797839.4459115961</v>
      </c>
      <c r="J37" s="187">
        <f>('12.Facility 1 - Trading'!I184/365)*$D$37</f>
        <v>4237120.5000212602</v>
      </c>
      <c r="K37" s="187">
        <f>('12.Facility 1 - Trading'!J184/365)*$D$37</f>
        <v>4710835.0609271079</v>
      </c>
    </row>
    <row r="38" spans="2:11">
      <c r="B38" s="229">
        <v>4</v>
      </c>
      <c r="C38" s="188" t="s">
        <v>141</v>
      </c>
      <c r="D38" s="196">
        <v>15</v>
      </c>
      <c r="E38" s="187">
        <f>('13.Facility 2 Grain Processing'!D146/365)*$D$38</f>
        <v>0</v>
      </c>
      <c r="F38" s="187">
        <f>('13.Facility 2 Grain Processing'!E146/365)*$D$38</f>
        <v>0</v>
      </c>
      <c r="G38" s="187">
        <f>('13.Facility 2 Grain Processing'!F146/365)*$D$38</f>
        <v>0</v>
      </c>
      <c r="H38" s="187">
        <f>('13.Facility 2 Grain Processing'!G146/365)*$D$38</f>
        <v>0</v>
      </c>
      <c r="I38" s="187">
        <f>('13.Facility 2 Grain Processing'!H146/365)*$D$38</f>
        <v>0</v>
      </c>
      <c r="J38" s="187">
        <f>('13.Facility 2 Grain Processing'!I146/365)*$D$38</f>
        <v>0</v>
      </c>
      <c r="K38" s="187">
        <f>('13.Facility 2 Grain Processing'!J146/365)*$D$38</f>
        <v>0</v>
      </c>
    </row>
    <row r="39" spans="2:11">
      <c r="B39" s="229">
        <v>5</v>
      </c>
      <c r="C39" s="188" t="s">
        <v>296</v>
      </c>
      <c r="D39" s="196">
        <v>14</v>
      </c>
      <c r="E39" s="187">
        <f>('14. Facility 3 Warehouse'!D23/365)*$D$39</f>
        <v>39436.273972602736</v>
      </c>
      <c r="F39" s="187">
        <f>('14. Facility 3 Warehouse'!E23/365)*$D$39</f>
        <v>44365.808219178085</v>
      </c>
      <c r="G39" s="187">
        <f>('14. Facility 3 Warehouse'!F23/365)*$D$39</f>
        <v>49689.705205479455</v>
      </c>
      <c r="H39" s="187">
        <f>('14. Facility 3 Warehouse'!G23/365)*$D$39</f>
        <v>55435.077369863029</v>
      </c>
      <c r="I39" s="187">
        <f>('14. Facility 3 Warehouse'!H23/365)*$D$39</f>
        <v>61630.762487671258</v>
      </c>
      <c r="J39" s="187">
        <f>('14. Facility 3 Warehouse'!I23/365)*$D$39</f>
        <v>68307.428423835649</v>
      </c>
      <c r="K39" s="187">
        <f>('14. Facility 3 Warehouse'!J23/365)*$D$39</f>
        <v>75497.684047397299</v>
      </c>
    </row>
    <row r="40" spans="2:11">
      <c r="B40" s="229">
        <v>6</v>
      </c>
      <c r="C40" s="188" t="s">
        <v>526</v>
      </c>
      <c r="D40" s="196">
        <v>14</v>
      </c>
      <c r="E40" s="187">
        <f>('17.Facility 6 Horti Processing '!D159/365)*$D$40</f>
        <v>0</v>
      </c>
      <c r="F40" s="187">
        <f>('17.Facility 6 Horti Processing '!E159/365)*$D$40</f>
        <v>0</v>
      </c>
      <c r="G40" s="187">
        <f>('17.Facility 6 Horti Processing '!F159/365)*$D$40</f>
        <v>0</v>
      </c>
      <c r="H40" s="187">
        <f>('17.Facility 6 Horti Processing '!G159/365)*$D$40</f>
        <v>0</v>
      </c>
      <c r="I40" s="187">
        <f>('17.Facility 6 Horti Processing '!H159/365)*$D$40</f>
        <v>0</v>
      </c>
      <c r="J40" s="187">
        <f>('17.Facility 6 Horti Processing '!I159/365)*$D$40</f>
        <v>0</v>
      </c>
      <c r="K40" s="187">
        <f>('17.Facility 6 Horti Processing '!J159/365)*$D$40</f>
        <v>0</v>
      </c>
    </row>
    <row r="41" spans="2:11">
      <c r="B41" s="229"/>
      <c r="C41" s="188"/>
      <c r="D41" s="196"/>
      <c r="E41" s="187"/>
      <c r="F41" s="187"/>
      <c r="G41" s="187"/>
      <c r="H41" s="187"/>
      <c r="I41" s="187"/>
      <c r="J41" s="187"/>
      <c r="K41" s="187"/>
    </row>
    <row r="42" spans="2:11">
      <c r="B42" s="185"/>
      <c r="C42" s="186" t="s">
        <v>171</v>
      </c>
      <c r="D42" s="196"/>
      <c r="E42" s="187">
        <f>SUM(E35:E41)</f>
        <v>2360822.3842191775</v>
      </c>
      <c r="F42" s="187">
        <f t="shared" ref="F42:K42" si="8">SUM(F35:F41)</f>
        <v>2709563.2704000007</v>
      </c>
      <c r="G42" s="187">
        <f t="shared" si="8"/>
        <v>3063578.7060295902</v>
      </c>
      <c r="H42" s="187">
        <f t="shared" si="8"/>
        <v>3446221.7770461375</v>
      </c>
      <c r="I42" s="187">
        <f t="shared" si="8"/>
        <v>3859470.2083992674</v>
      </c>
      <c r="J42" s="187">
        <f t="shared" si="8"/>
        <v>4305427.9284450961</v>
      </c>
      <c r="K42" s="187">
        <f t="shared" si="8"/>
        <v>4786332.7449745052</v>
      </c>
    </row>
    <row r="43" spans="2:11">
      <c r="B43" s="185" t="s">
        <v>174</v>
      </c>
      <c r="C43" s="186" t="s">
        <v>340</v>
      </c>
      <c r="D43" s="196"/>
      <c r="E43" s="187">
        <f>'5.Closing Stock &amp; W Capital'!E21</f>
        <v>578263.68000000005</v>
      </c>
      <c r="F43" s="187">
        <f>'5.Closing Stock &amp; W Capital'!F21</f>
        <v>657774.93599999999</v>
      </c>
      <c r="G43" s="187">
        <f>'5.Closing Stock &amp; W Capital'!G21</f>
        <v>743791.65840000019</v>
      </c>
      <c r="H43" s="187">
        <f>'5.Closing Stock &amp; W Capital'!H21</f>
        <v>836765.6157000002</v>
      </c>
      <c r="I43" s="187">
        <f>'5.Closing Stock &amp; W Capital'!I21</f>
        <v>937177.48958400032</v>
      </c>
      <c r="J43" s="187">
        <f>'5.Closing Stock &amp; W Capital'!J21</f>
        <v>1045538.6368171503</v>
      </c>
      <c r="K43" s="187">
        <f>'5.Closing Stock &amp; W Capital'!K21</f>
        <v>1162392.9550496559</v>
      </c>
    </row>
    <row r="44" spans="2:11">
      <c r="B44" s="185"/>
      <c r="C44" s="188"/>
      <c r="D44" s="196"/>
      <c r="E44" s="187"/>
      <c r="F44" s="187"/>
      <c r="G44" s="187"/>
      <c r="H44" s="187"/>
      <c r="I44" s="187"/>
      <c r="J44" s="187"/>
      <c r="K44" s="187"/>
    </row>
    <row r="45" spans="2:11">
      <c r="B45" s="434" t="s">
        <v>1</v>
      </c>
      <c r="C45" s="435"/>
      <c r="D45" s="205"/>
      <c r="E45" s="189">
        <f>SUM(E42:E43)</f>
        <v>2939086.0642191777</v>
      </c>
      <c r="F45" s="189">
        <f t="shared" ref="F45:K45" si="9">SUM(F42:F43)</f>
        <v>3367338.2064000005</v>
      </c>
      <c r="G45" s="189">
        <f t="shared" si="9"/>
        <v>3807370.3644295903</v>
      </c>
      <c r="H45" s="189">
        <f t="shared" si="9"/>
        <v>4282987.3927461375</v>
      </c>
      <c r="I45" s="189">
        <f t="shared" si="9"/>
        <v>4796647.6979832677</v>
      </c>
      <c r="J45" s="189">
        <f t="shared" si="9"/>
        <v>5350966.5652622469</v>
      </c>
      <c r="K45" s="189">
        <f t="shared" si="9"/>
        <v>5948725.7000241615</v>
      </c>
    </row>
    <row r="46" spans="2:11">
      <c r="B46" s="185"/>
      <c r="C46" s="186"/>
      <c r="D46" s="196"/>
      <c r="E46" s="187"/>
      <c r="F46" s="187"/>
      <c r="G46" s="187"/>
      <c r="H46" s="187"/>
      <c r="I46" s="187"/>
      <c r="J46" s="187"/>
      <c r="K46" s="187"/>
    </row>
    <row r="47" spans="2:11" ht="34.5" customHeight="1">
      <c r="B47" s="185" t="s">
        <v>175</v>
      </c>
      <c r="C47" s="188" t="s">
        <v>342</v>
      </c>
      <c r="D47" s="196"/>
      <c r="E47" s="187"/>
      <c r="F47" s="187"/>
      <c r="G47" s="187"/>
      <c r="H47" s="187"/>
      <c r="I47" s="187"/>
      <c r="J47" s="187"/>
      <c r="K47" s="187"/>
    </row>
    <row r="48" spans="2:11">
      <c r="B48" s="229">
        <v>1</v>
      </c>
      <c r="C48" s="188" t="str">
        <f t="shared" ref="C48:C53" si="10">C35</f>
        <v>Agri Input</v>
      </c>
      <c r="D48" s="196">
        <v>7</v>
      </c>
      <c r="E48" s="187">
        <f>(SUM('16.Facility 5 Agri Input'!D198:D259)/365)*$D$48</f>
        <v>0</v>
      </c>
      <c r="F48" s="187">
        <f>(SUM('16.Facility 5 Agri Input'!E198:E259)/365)*$D$48</f>
        <v>0</v>
      </c>
      <c r="G48" s="187">
        <f>(SUM('16.Facility 5 Agri Input'!F198:F259)/365)*$D$48</f>
        <v>0</v>
      </c>
      <c r="H48" s="187">
        <f>(SUM('16.Facility 5 Agri Input'!G198:G259)/365)*$D$48</f>
        <v>0</v>
      </c>
      <c r="I48" s="187">
        <f>(SUM('16.Facility 5 Agri Input'!H198:H259)/365)*$D$48</f>
        <v>0</v>
      </c>
      <c r="J48" s="187">
        <f>(SUM('16.Facility 5 Agri Input'!I198:I259)/365)*$D$48</f>
        <v>0</v>
      </c>
      <c r="K48" s="187">
        <f>(SUM('16.Facility 5 Agri Input'!J198:J259)/365)*$D$48</f>
        <v>0</v>
      </c>
    </row>
    <row r="49" spans="1:12">
      <c r="B49" s="229">
        <v>2</v>
      </c>
      <c r="C49" s="188" t="str">
        <f t="shared" si="10"/>
        <v>Custom Hiring</v>
      </c>
      <c r="D49" s="196">
        <v>7</v>
      </c>
      <c r="E49" s="187">
        <f>('15. Facility 4 Custom Hiring'!E47/365)*$D$50</f>
        <v>0</v>
      </c>
      <c r="F49" s="187">
        <f>('15. Facility 4 Custom Hiring'!F47/365)*$D$50</f>
        <v>0</v>
      </c>
      <c r="G49" s="187">
        <f>('15. Facility 4 Custom Hiring'!G47/365)*$D$50</f>
        <v>0</v>
      </c>
      <c r="H49" s="187">
        <f>('15. Facility 4 Custom Hiring'!H47/365)*$D$50</f>
        <v>0</v>
      </c>
      <c r="I49" s="187">
        <f>('15. Facility 4 Custom Hiring'!I47/365)*$D$50</f>
        <v>0</v>
      </c>
      <c r="J49" s="187">
        <f>('15. Facility 4 Custom Hiring'!J47/365)*$D$50</f>
        <v>0</v>
      </c>
      <c r="K49" s="187">
        <f>('15. Facility 4 Custom Hiring'!K47/365)*$D$50</f>
        <v>0</v>
      </c>
    </row>
    <row r="50" spans="1:12">
      <c r="B50" s="229">
        <v>3</v>
      </c>
      <c r="C50" s="188" t="str">
        <f t="shared" si="10"/>
        <v>Trading</v>
      </c>
      <c r="D50" s="196">
        <v>7</v>
      </c>
      <c r="E50" s="187">
        <f>(SUM('12.Facility 1 - Trading'!D188:D198)/365)*$D$50</f>
        <v>1108998.8383561643</v>
      </c>
      <c r="F50" s="187">
        <f>(SUM('12.Facility 1 - Trading'!E188:E198)/365)*$D$50</f>
        <v>1261486.1786301369</v>
      </c>
      <c r="G50" s="187">
        <f>(SUM('12.Facility 1 - Trading'!F188:F198)/365)*$D$50</f>
        <v>1426449.7558356167</v>
      </c>
      <c r="H50" s="187">
        <f>(SUM('12.Facility 1 - Trading'!G188:G198)/365)*$D$50</f>
        <v>1604755.9753150691</v>
      </c>
      <c r="I50" s="187">
        <f>(SUM('12.Facility 1 - Trading'!H188:H198)/365)*$D$50</f>
        <v>1797326.6923528772</v>
      </c>
      <c r="J50" s="187">
        <f>(SUM('12.Facility 1 - Trading'!I188:I198)/365)*$D$50</f>
        <v>2005142.5911561786</v>
      </c>
      <c r="K50" s="187">
        <f>(SUM('12.Facility 1 - Trading'!J188:J198)/365)*$D$50</f>
        <v>2229246.7631089292</v>
      </c>
    </row>
    <row r="51" spans="1:12">
      <c r="B51" s="229">
        <v>4</v>
      </c>
      <c r="C51" s="188" t="str">
        <f t="shared" si="10"/>
        <v>Dal Mill</v>
      </c>
      <c r="D51" s="196">
        <v>7</v>
      </c>
      <c r="E51" s="187">
        <f>(SUM('13.Facility 2 Grain Processing'!D150:D163)/365)*$D$51</f>
        <v>0</v>
      </c>
      <c r="F51" s="187">
        <f>(SUM('13.Facility 2 Grain Processing'!E150:E163)/365)*$D$51</f>
        <v>0</v>
      </c>
      <c r="G51" s="187">
        <f>(SUM('13.Facility 2 Grain Processing'!F150:F163)/365)*$D$51</f>
        <v>0</v>
      </c>
      <c r="H51" s="187">
        <f>(SUM('13.Facility 2 Grain Processing'!G150:G163)/365)*$D$51</f>
        <v>0</v>
      </c>
      <c r="I51" s="187">
        <f>(SUM('13.Facility 2 Grain Processing'!H150:H163)/365)*$D$51</f>
        <v>0</v>
      </c>
      <c r="J51" s="187">
        <f>(SUM('13.Facility 2 Grain Processing'!I150:I163)/365)*$D$51</f>
        <v>0</v>
      </c>
      <c r="K51" s="187">
        <f>(SUM('13.Facility 2 Grain Processing'!J150:J163)/365)*$D$51</f>
        <v>0</v>
      </c>
    </row>
    <row r="52" spans="1:12">
      <c r="B52" s="229">
        <v>5</v>
      </c>
      <c r="C52" s="188" t="str">
        <f t="shared" si="10"/>
        <v>Warehouse</v>
      </c>
      <c r="D52" s="196">
        <v>7</v>
      </c>
      <c r="E52" s="187">
        <f>('14. Facility 3 Warehouse'!D34/365)*$D$52</f>
        <v>6217.1506849315065</v>
      </c>
      <c r="F52" s="187">
        <f>('14. Facility 3 Warehouse'!E34/365)*$D$52</f>
        <v>6620.4369863013699</v>
      </c>
      <c r="G52" s="187">
        <f>('14. Facility 3 Warehouse'!F34/365)*$D$52</f>
        <v>7048.509041095891</v>
      </c>
      <c r="H52" s="187">
        <f>('14. Facility 3 Warehouse'!G34/365)*$D$52</f>
        <v>7502.8372089041095</v>
      </c>
      <c r="I52" s="187">
        <f>('14. Facility 3 Warehouse'!H34/365)*$D$52</f>
        <v>7984.9769208904127</v>
      </c>
      <c r="J52" s="187">
        <f>('14. Facility 3 Warehouse'!I34/365)*$D$52</f>
        <v>8496.5735110530859</v>
      </c>
      <c r="K52" s="187">
        <f>('14. Facility 3 Warehouse'!J34/365)*$D$52</f>
        <v>9039.3673179297966</v>
      </c>
    </row>
    <row r="53" spans="1:12">
      <c r="B53" s="229">
        <v>6</v>
      </c>
      <c r="C53" s="188" t="str">
        <f t="shared" si="10"/>
        <v>Processing Unit - Horti Commodity</v>
      </c>
      <c r="D53" s="196">
        <v>7</v>
      </c>
      <c r="E53" s="187">
        <f>(SUM('17.Facility 6 Horti Processing '!D163:D173)/365)*$D$53</f>
        <v>0</v>
      </c>
      <c r="F53" s="187">
        <f>(SUM('17.Facility 6 Horti Processing '!E163:E173)/365)*$D$53</f>
        <v>0</v>
      </c>
      <c r="G53" s="187">
        <f>(SUM('17.Facility 6 Horti Processing '!F163:F173)/365)*$D$53</f>
        <v>0</v>
      </c>
      <c r="H53" s="187">
        <f>(SUM('17.Facility 6 Horti Processing '!G163:G173)/365)*$D$53</f>
        <v>0</v>
      </c>
      <c r="I53" s="187">
        <f>(SUM('17.Facility 6 Horti Processing '!H163:H173)/365)*$D$53</f>
        <v>0</v>
      </c>
      <c r="J53" s="187">
        <f>(SUM('17.Facility 6 Horti Processing '!I163:I173)/365)*$D$53</f>
        <v>0</v>
      </c>
      <c r="K53" s="187">
        <f>(SUM('17.Facility 6 Horti Processing '!J163:J173)/365)*$D$53</f>
        <v>0</v>
      </c>
    </row>
    <row r="54" spans="1:12">
      <c r="B54" s="229"/>
      <c r="C54" s="188"/>
      <c r="D54" s="196"/>
      <c r="E54" s="187"/>
      <c r="F54" s="187"/>
      <c r="G54" s="187"/>
      <c r="H54" s="187"/>
      <c r="I54" s="187"/>
      <c r="J54" s="187"/>
      <c r="K54" s="187"/>
    </row>
    <row r="55" spans="1:12">
      <c r="B55" s="180"/>
      <c r="C55" s="186" t="s">
        <v>1</v>
      </c>
      <c r="D55" s="196"/>
      <c r="E55" s="189">
        <f>SUM(E48:E54)</f>
        <v>1115215.9890410958</v>
      </c>
      <c r="F55" s="189">
        <f t="shared" ref="F55:K55" si="11">SUM(F48:F54)</f>
        <v>1268106.6156164382</v>
      </c>
      <c r="G55" s="189">
        <f t="shared" si="11"/>
        <v>1433498.2648767126</v>
      </c>
      <c r="H55" s="189">
        <f t="shared" si="11"/>
        <v>1612258.8125239732</v>
      </c>
      <c r="I55" s="189">
        <f t="shared" si="11"/>
        <v>1805311.6692737676</v>
      </c>
      <c r="J55" s="189">
        <f t="shared" si="11"/>
        <v>2013639.1646672317</v>
      </c>
      <c r="K55" s="189">
        <f t="shared" si="11"/>
        <v>2238286.130426859</v>
      </c>
    </row>
    <row r="56" spans="1:12">
      <c r="B56" s="185" t="s">
        <v>176</v>
      </c>
      <c r="C56" s="186" t="s">
        <v>157</v>
      </c>
      <c r="D56" s="196"/>
      <c r="E56" s="189">
        <f>E45-E55</f>
        <v>1823870.0751780819</v>
      </c>
      <c r="F56" s="189">
        <f t="shared" ref="F56:K56" si="12">F45-F55</f>
        <v>2099231.5907835625</v>
      </c>
      <c r="G56" s="189">
        <f t="shared" si="12"/>
        <v>2373872.0995528777</v>
      </c>
      <c r="H56" s="189">
        <f t="shared" si="12"/>
        <v>2670728.5802221643</v>
      </c>
      <c r="I56" s="189">
        <f t="shared" si="12"/>
        <v>2991336.0287095001</v>
      </c>
      <c r="J56" s="189">
        <f t="shared" si="12"/>
        <v>3337327.4005950149</v>
      </c>
      <c r="K56" s="189">
        <f t="shared" si="12"/>
        <v>3710439.5695973025</v>
      </c>
    </row>
    <row r="57" spans="1:12">
      <c r="B57" s="185"/>
      <c r="C57" s="186" t="s">
        <v>135</v>
      </c>
      <c r="D57" s="237">
        <v>0.25</v>
      </c>
      <c r="E57" s="189">
        <f>E56*$D$57</f>
        <v>455967.51879452047</v>
      </c>
      <c r="F57" s="189"/>
      <c r="G57" s="189"/>
      <c r="H57" s="189"/>
      <c r="I57" s="189"/>
      <c r="J57" s="189"/>
      <c r="K57" s="189"/>
    </row>
    <row r="59" spans="1:12">
      <c r="E59" s="22"/>
    </row>
    <row r="60" spans="1:12" ht="37" customHeight="1">
      <c r="A60" s="431" t="s">
        <v>405</v>
      </c>
      <c r="B60" s="432"/>
      <c r="C60" s="432"/>
      <c r="D60" s="432"/>
      <c r="E60" s="432"/>
      <c r="F60" s="432"/>
      <c r="G60" s="432"/>
      <c r="H60" s="432"/>
      <c r="I60" s="432"/>
      <c r="J60" s="432"/>
      <c r="K60" s="432"/>
      <c r="L60" s="432"/>
    </row>
    <row r="61" spans="1:12">
      <c r="A61" t="s">
        <v>534</v>
      </c>
    </row>
    <row r="62" spans="1:12">
      <c r="A62">
        <v>1</v>
      </c>
      <c r="B62" t="s">
        <v>535</v>
      </c>
    </row>
    <row r="63" spans="1:12">
      <c r="A63">
        <v>2</v>
      </c>
      <c r="B63" t="s">
        <v>536</v>
      </c>
    </row>
    <row r="64" spans="1:12">
      <c r="A64">
        <v>3</v>
      </c>
      <c r="B64" t="s">
        <v>537</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34" zoomScale="80" zoomScaleSheetLayoutView="80" workbookViewId="0">
      <selection activeCell="A5" sqref="A5:H51"/>
    </sheetView>
  </sheetViews>
  <sheetFormatPr defaultRowHeight="14.5"/>
  <cols>
    <col min="1" max="1" width="40.54296875" bestFit="1" customWidth="1"/>
    <col min="2" max="5" width="13.453125" bestFit="1" customWidth="1"/>
    <col min="6" max="8" width="13.1796875" bestFit="1" customWidth="1"/>
    <col min="9" max="9" width="8.54296875" customWidth="1"/>
    <col min="10" max="15" width="11.7265625" bestFit="1" customWidth="1"/>
    <col min="16" max="16" width="12.26953125" bestFit="1" customWidth="1"/>
  </cols>
  <sheetData>
    <row r="2" spans="1:16" ht="17.5">
      <c r="A2" s="411" t="s">
        <v>556</v>
      </c>
      <c r="B2" s="411"/>
      <c r="C2" s="411"/>
      <c r="D2" s="411"/>
      <c r="E2" s="411"/>
      <c r="F2" s="411"/>
      <c r="G2" s="411"/>
      <c r="H2" s="411"/>
    </row>
    <row r="4" spans="1:16">
      <c r="B4" s="4"/>
      <c r="C4" s="4"/>
      <c r="D4" s="4"/>
      <c r="E4" s="4"/>
      <c r="F4" s="4"/>
    </row>
    <row r="5" spans="1:16">
      <c r="A5" s="124" t="s">
        <v>0</v>
      </c>
      <c r="B5" s="96" t="s">
        <v>2</v>
      </c>
      <c r="C5" s="96" t="s">
        <v>3</v>
      </c>
      <c r="D5" s="96" t="s">
        <v>4</v>
      </c>
      <c r="E5" s="96" t="s">
        <v>5</v>
      </c>
      <c r="F5" s="96" t="s">
        <v>6</v>
      </c>
      <c r="G5" s="96" t="s">
        <v>169</v>
      </c>
      <c r="H5" s="96" t="s">
        <v>168</v>
      </c>
    </row>
    <row r="6" spans="1:16">
      <c r="A6" s="75" t="s">
        <v>127</v>
      </c>
      <c r="B6" s="73"/>
      <c r="C6" s="73"/>
      <c r="D6" s="73"/>
      <c r="E6" s="73"/>
      <c r="F6" s="73"/>
      <c r="G6" s="73"/>
      <c r="H6" s="73"/>
    </row>
    <row r="7" spans="1:16">
      <c r="A7" s="73"/>
      <c r="B7" s="73"/>
      <c r="C7" s="73"/>
      <c r="D7" s="73"/>
      <c r="E7" s="73"/>
      <c r="F7" s="73"/>
      <c r="G7" s="73"/>
      <c r="H7" s="73"/>
    </row>
    <row r="8" spans="1:16">
      <c r="A8" s="73" t="s">
        <v>769</v>
      </c>
      <c r="B8" s="74">
        <f>'12.Facility 1 - Trading'!D184</f>
        <v>60521852.159999989</v>
      </c>
      <c r="C8" s="74">
        <f>'12.Facility 1 - Trading'!E184</f>
        <v>69485505.264000013</v>
      </c>
      <c r="D8" s="74">
        <f>'12.Facility 1 - Trading'!F184</f>
        <v>78576391.807200015</v>
      </c>
      <c r="E8" s="74">
        <f>'12.Facility 1 - Trading'!G184</f>
        <v>88402653.241560012</v>
      </c>
      <c r="F8" s="74">
        <f>'12.Facility 1 - Trading'!H184</f>
        <v>99015099.839838043</v>
      </c>
      <c r="G8" s="74">
        <f>'12.Facility 1 - Trading'!I184</f>
        <v>110467784.46483998</v>
      </c>
      <c r="H8" s="74">
        <f>'12.Facility 1 - Trading'!J184</f>
        <v>122818199.80274245</v>
      </c>
      <c r="J8" s="52"/>
      <c r="K8" s="52"/>
      <c r="L8" s="52"/>
      <c r="M8" s="52"/>
      <c r="N8" s="52"/>
      <c r="O8" s="52"/>
      <c r="P8" s="52"/>
    </row>
    <row r="9" spans="1:16">
      <c r="A9" s="73" t="s">
        <v>770</v>
      </c>
      <c r="B9" s="74">
        <f>'13.Facility 2 Grain Processing'!D146</f>
        <v>0</v>
      </c>
      <c r="C9" s="74">
        <f>'13.Facility 2 Grain Processing'!E146</f>
        <v>0</v>
      </c>
      <c r="D9" s="74">
        <f>'13.Facility 2 Grain Processing'!F146</f>
        <v>0</v>
      </c>
      <c r="E9" s="74">
        <f>'13.Facility 2 Grain Processing'!G146</f>
        <v>0</v>
      </c>
      <c r="F9" s="74">
        <f>'13.Facility 2 Grain Processing'!H146</f>
        <v>0</v>
      </c>
      <c r="G9" s="74">
        <f>'13.Facility 2 Grain Processing'!I146</f>
        <v>0</v>
      </c>
      <c r="H9" s="74">
        <f>'13.Facility 2 Grain Processing'!J146</f>
        <v>0</v>
      </c>
      <c r="J9" s="52"/>
      <c r="K9" s="52"/>
      <c r="L9" s="52"/>
      <c r="M9" s="52"/>
      <c r="N9" s="52"/>
      <c r="O9" s="52"/>
    </row>
    <row r="10" spans="1:16">
      <c r="A10" s="73" t="s">
        <v>804</v>
      </c>
      <c r="B10" s="74">
        <f>'14. Facility 3 Warehouse'!D23</f>
        <v>1028160</v>
      </c>
      <c r="C10" s="74">
        <f>'14. Facility 3 Warehouse'!E23</f>
        <v>1156680</v>
      </c>
      <c r="D10" s="74">
        <f>'14. Facility 3 Warehouse'!F23</f>
        <v>1295481.6000000001</v>
      </c>
      <c r="E10" s="74">
        <f>'14. Facility 3 Warehouse'!G23</f>
        <v>1445271.6600000004</v>
      </c>
      <c r="F10" s="74">
        <f>'14. Facility 3 Warehouse'!H23</f>
        <v>1606802.0220000006</v>
      </c>
      <c r="G10" s="74">
        <f>'14. Facility 3 Warehouse'!I23</f>
        <v>1780872.241050001</v>
      </c>
      <c r="H10" s="74">
        <f>'14. Facility 3 Warehouse'!J23</f>
        <v>1968332.4769500012</v>
      </c>
      <c r="J10" s="52"/>
      <c r="K10" s="52"/>
      <c r="L10" s="52"/>
      <c r="M10" s="52"/>
      <c r="N10" s="52"/>
      <c r="O10" s="52"/>
    </row>
    <row r="11" spans="1:16">
      <c r="A11" s="73" t="s">
        <v>504</v>
      </c>
      <c r="B11" s="74">
        <f>'15. Facility 4 Custom Hiring'!E37</f>
        <v>0</v>
      </c>
      <c r="C11" s="74">
        <f>'15. Facility 4 Custom Hiring'!F37</f>
        <v>0</v>
      </c>
      <c r="D11" s="74">
        <f>'15. Facility 4 Custom Hiring'!G37</f>
        <v>0</v>
      </c>
      <c r="E11" s="74">
        <f>'15. Facility 4 Custom Hiring'!H37</f>
        <v>0</v>
      </c>
      <c r="F11" s="74">
        <f>'15. Facility 4 Custom Hiring'!I37</f>
        <v>0</v>
      </c>
      <c r="G11" s="74">
        <f>'15. Facility 4 Custom Hiring'!J37</f>
        <v>0</v>
      </c>
      <c r="H11" s="74">
        <f>'15. Facility 4 Custom Hiring'!K37</f>
        <v>0</v>
      </c>
      <c r="J11" s="52"/>
      <c r="K11" s="52"/>
      <c r="L11" s="52"/>
      <c r="M11" s="52"/>
      <c r="N11" s="52"/>
      <c r="O11" s="52"/>
    </row>
    <row r="12" spans="1:16">
      <c r="A12" s="73" t="s">
        <v>500</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c r="A13" s="73" t="s">
        <v>525</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c r="J13" s="52"/>
      <c r="K13" s="52"/>
      <c r="L13" s="52"/>
      <c r="M13" s="52"/>
      <c r="N13" s="52"/>
      <c r="O13" s="52"/>
    </row>
    <row r="14" spans="1:16">
      <c r="A14" s="73"/>
      <c r="B14" s="74"/>
      <c r="C14" s="74"/>
      <c r="D14" s="74"/>
      <c r="E14" s="74"/>
      <c r="F14" s="74"/>
      <c r="G14" s="74"/>
      <c r="H14" s="74"/>
      <c r="J14" s="52"/>
    </row>
    <row r="15" spans="1:16">
      <c r="A15" s="75" t="s">
        <v>144</v>
      </c>
      <c r="B15" s="91">
        <f>SUM(B8:B14)</f>
        <v>61550012.159999989</v>
      </c>
      <c r="C15" s="91">
        <f t="shared" ref="C15:H15" si="0">SUM(C8:C14)</f>
        <v>70642185.264000013</v>
      </c>
      <c r="D15" s="91">
        <f t="shared" si="0"/>
        <v>79871873.407200009</v>
      </c>
      <c r="E15" s="91">
        <f t="shared" si="0"/>
        <v>89847924.901560009</v>
      </c>
      <c r="F15" s="91">
        <f t="shared" si="0"/>
        <v>100621901.86183804</v>
      </c>
      <c r="G15" s="91">
        <f t="shared" si="0"/>
        <v>112248656.70588998</v>
      </c>
      <c r="H15" s="91">
        <f t="shared" si="0"/>
        <v>124786532.27969246</v>
      </c>
    </row>
    <row r="16" spans="1:16">
      <c r="A16" s="73"/>
      <c r="B16" s="74"/>
      <c r="C16" s="74"/>
      <c r="D16" s="74"/>
      <c r="E16" s="74"/>
      <c r="F16" s="74"/>
      <c r="G16" s="74"/>
      <c r="H16" s="74"/>
    </row>
    <row r="17" spans="1:10">
      <c r="A17" s="75" t="s">
        <v>307</v>
      </c>
      <c r="B17" s="74"/>
      <c r="C17" s="74"/>
      <c r="D17" s="74"/>
      <c r="E17" s="74"/>
      <c r="F17" s="74"/>
      <c r="G17" s="74"/>
      <c r="H17" s="74"/>
    </row>
    <row r="18" spans="1:10">
      <c r="A18" s="73" t="str">
        <f t="shared" ref="A18:A23" si="1">A8</f>
        <v>Activity 1 - Flour Mill</v>
      </c>
      <c r="B18" s="74">
        <f>'12.Facility 1 - Trading'!D202</f>
        <v>57248104.32</v>
      </c>
      <c r="C18" s="74">
        <f>'12.Facility 1 - Trading'!E202</f>
        <v>65697982.344000004</v>
      </c>
      <c r="D18" s="74">
        <f>'12.Facility 1 - Trading'!F202</f>
        <v>74293149.117600024</v>
      </c>
      <c r="E18" s="74">
        <f>'12.Facility 1 - Trading'!G202</f>
        <v>83583587.612700015</v>
      </c>
      <c r="F18" s="74">
        <f>'12.Facility 1 - Trading'!H202</f>
        <v>93617337.084516034</v>
      </c>
      <c r="G18" s="74">
        <f>'12.Facility 1 - Trading'!I202</f>
        <v>104445502.53448187</v>
      </c>
      <c r="H18" s="74">
        <f>'12.Facility 1 - Trading'!J202</f>
        <v>116122441.1867331</v>
      </c>
    </row>
    <row r="19" spans="1:10">
      <c r="A19" s="73" t="str">
        <f t="shared" si="1"/>
        <v>Activity 2 - Cold Press Oil</v>
      </c>
      <c r="B19" s="74">
        <f>'13.Facility 2 Grain Processing'!D167</f>
        <v>0</v>
      </c>
      <c r="C19" s="74">
        <f>'13.Facility 2 Grain Processing'!E167</f>
        <v>0</v>
      </c>
      <c r="D19" s="74">
        <f>'13.Facility 2 Grain Processing'!F167</f>
        <v>0</v>
      </c>
      <c r="E19" s="74">
        <f>'13.Facility 2 Grain Processing'!G167</f>
        <v>0</v>
      </c>
      <c r="F19" s="74">
        <f>'13.Facility 2 Grain Processing'!H167</f>
        <v>0</v>
      </c>
      <c r="G19" s="74">
        <f>'13.Facility 2 Grain Processing'!I167</f>
        <v>0</v>
      </c>
      <c r="H19" s="74">
        <f>'13.Facility 2 Grain Processing'!J167</f>
        <v>0</v>
      </c>
    </row>
    <row r="20" spans="1:10">
      <c r="A20" s="73" t="str">
        <f t="shared" si="1"/>
        <v>Activity 2 - Warehouse</v>
      </c>
      <c r="B20" s="74">
        <f>'14. Facility 3 Warehouse'!D34</f>
        <v>324180</v>
      </c>
      <c r="C20" s="74">
        <f>'14. Facility 3 Warehouse'!E34</f>
        <v>345208.5</v>
      </c>
      <c r="D20" s="74">
        <f>'14. Facility 3 Warehouse'!F34</f>
        <v>367529.4</v>
      </c>
      <c r="E20" s="74">
        <f>'14. Facility 3 Warehouse'!G34</f>
        <v>391219.36875000002</v>
      </c>
      <c r="F20" s="74">
        <f>'14. Facility 3 Warehouse'!H34</f>
        <v>416359.51087500015</v>
      </c>
      <c r="G20" s="74">
        <f>'14. Facility 3 Warehouse'!I34</f>
        <v>443035.61879062513</v>
      </c>
      <c r="H20" s="74">
        <f>'14. Facility 3 Warehouse'!J34</f>
        <v>471338.43872062513</v>
      </c>
    </row>
    <row r="21" spans="1:10">
      <c r="A21" s="73" t="str">
        <f t="shared" si="1"/>
        <v xml:space="preserve">Faclitiy 4 - Custom Hiring </v>
      </c>
      <c r="B21" s="74">
        <f>'15. Facility 4 Custom Hiring'!E47</f>
        <v>0</v>
      </c>
      <c r="C21" s="74">
        <f>'15. Facility 4 Custom Hiring'!F47</f>
        <v>0</v>
      </c>
      <c r="D21" s="74">
        <f>'15. Facility 4 Custom Hiring'!G47</f>
        <v>0</v>
      </c>
      <c r="E21" s="74">
        <f>'15. Facility 4 Custom Hiring'!H47</f>
        <v>0</v>
      </c>
      <c r="F21" s="74">
        <f>'15. Facility 4 Custom Hiring'!I47</f>
        <v>0</v>
      </c>
      <c r="G21" s="74">
        <f>'15. Facility 4 Custom Hiring'!J47</f>
        <v>0</v>
      </c>
      <c r="H21" s="74">
        <f>'15. Facility 4 Custom Hiring'!K47</f>
        <v>0</v>
      </c>
    </row>
    <row r="22" spans="1:10">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10">
      <c r="A24" s="73"/>
      <c r="B24" s="74"/>
      <c r="C24" s="74"/>
      <c r="D24" s="74"/>
      <c r="E24" s="74"/>
      <c r="F24" s="74"/>
      <c r="G24" s="74"/>
      <c r="H24" s="74"/>
    </row>
    <row r="25" spans="1:10">
      <c r="A25" s="75" t="s">
        <v>314</v>
      </c>
      <c r="B25" s="91">
        <f>SUM(B18:B24)</f>
        <v>57572284.32</v>
      </c>
      <c r="C25" s="91">
        <f t="shared" ref="C25:H25" si="2">SUM(C18:C24)</f>
        <v>66043190.844000004</v>
      </c>
      <c r="D25" s="91">
        <f t="shared" si="2"/>
        <v>74660678.51760003</v>
      </c>
      <c r="E25" s="91">
        <f t="shared" si="2"/>
        <v>83974806.981450021</v>
      </c>
      <c r="F25" s="91">
        <f t="shared" si="2"/>
        <v>94033696.595391035</v>
      </c>
      <c r="G25" s="91">
        <f t="shared" si="2"/>
        <v>104888538.15327249</v>
      </c>
      <c r="H25" s="91">
        <f t="shared" si="2"/>
        <v>116593779.62545373</v>
      </c>
      <c r="J25" s="22"/>
    </row>
    <row r="26" spans="1:10">
      <c r="A26" s="73"/>
      <c r="B26" s="74"/>
      <c r="C26" s="74"/>
      <c r="D26" s="74"/>
      <c r="E26" s="74"/>
      <c r="F26" s="74"/>
      <c r="G26" s="74"/>
      <c r="H26" s="74"/>
    </row>
    <row r="27" spans="1:10">
      <c r="A27" s="75" t="s">
        <v>306</v>
      </c>
      <c r="B27" s="74"/>
      <c r="C27" s="74"/>
      <c r="D27" s="74"/>
      <c r="E27" s="74"/>
      <c r="F27" s="74"/>
      <c r="G27" s="74"/>
      <c r="H27" s="74"/>
    </row>
    <row r="28" spans="1:10">
      <c r="A28" s="73" t="str">
        <f t="shared" ref="A28:A33" si="3">A18</f>
        <v>Activity 1 - Flour Mill</v>
      </c>
      <c r="B28" s="74">
        <f>'12.Facility 1 - Trading'!D209</f>
        <v>96000</v>
      </c>
      <c r="C28" s="74">
        <f>'12.Facility 1 - Trading'!E209</f>
        <v>100800</v>
      </c>
      <c r="D28" s="74">
        <f>'12.Facility 1 - Trading'!F209</f>
        <v>105840</v>
      </c>
      <c r="E28" s="74">
        <f>'12.Facility 1 - Trading'!G209</f>
        <v>111132.00000000001</v>
      </c>
      <c r="F28" s="74">
        <f>'12.Facility 1 - Trading'!H209</f>
        <v>116688.60000000002</v>
      </c>
      <c r="G28" s="74">
        <f>'12.Facility 1 - Trading'!I209</f>
        <v>122523.03000000003</v>
      </c>
      <c r="H28" s="74">
        <f>'12.Facility 1 - Trading'!J209</f>
        <v>128649.18150000004</v>
      </c>
    </row>
    <row r="29" spans="1:10">
      <c r="A29" s="73" t="str">
        <f t="shared" si="3"/>
        <v>Activity 2 - Cold Press Oil</v>
      </c>
      <c r="B29" s="74">
        <f>'13.Facility 2 Grain Processing'!D174</f>
        <v>0</v>
      </c>
      <c r="C29" s="74">
        <f>'13.Facility 2 Grain Processing'!E174</f>
        <v>0</v>
      </c>
      <c r="D29" s="74">
        <f>'13.Facility 2 Grain Processing'!F174</f>
        <v>0</v>
      </c>
      <c r="E29" s="74">
        <f>'13.Facility 2 Grain Processing'!G174</f>
        <v>0</v>
      </c>
      <c r="F29" s="74">
        <f>'13.Facility 2 Grain Processing'!H174</f>
        <v>0</v>
      </c>
      <c r="G29" s="74">
        <f>'13.Facility 2 Grain Processing'!I174</f>
        <v>0</v>
      </c>
      <c r="H29" s="74">
        <f>'13.Facility 2 Grain Processing'!J174</f>
        <v>0</v>
      </c>
    </row>
    <row r="30" spans="1:10">
      <c r="A30" s="73" t="str">
        <f t="shared" si="3"/>
        <v>Activity 2 -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10">
      <c r="A31" s="73" t="str">
        <f t="shared" si="3"/>
        <v xml:space="preserve">Faclitiy 4 - Custom Hiring </v>
      </c>
      <c r="B31" s="74">
        <f>'15. Facility 4 Custom Hiring'!E52</f>
        <v>0</v>
      </c>
      <c r="C31" s="74">
        <f>'15. Facility 4 Custom Hiring'!F52</f>
        <v>0</v>
      </c>
      <c r="D31" s="74">
        <f>'15. Facility 4 Custom Hiring'!G52</f>
        <v>0</v>
      </c>
      <c r="E31" s="74">
        <f>'15. Facility 4 Custom Hiring'!H52</f>
        <v>0</v>
      </c>
      <c r="F31" s="74">
        <f>'15. Facility 4 Custom Hiring'!I52</f>
        <v>0</v>
      </c>
      <c r="G31" s="74">
        <f>'15. Facility 4 Custom Hiring'!J52</f>
        <v>0</v>
      </c>
      <c r="H31" s="74">
        <f>'15. Facility 4 Custom Hiring'!K52</f>
        <v>0</v>
      </c>
    </row>
    <row r="32" spans="1:10">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10">
      <c r="A34" s="73"/>
      <c r="B34" s="74"/>
      <c r="C34" s="74"/>
      <c r="D34" s="74"/>
      <c r="E34" s="74"/>
      <c r="F34" s="74"/>
      <c r="G34" s="74"/>
      <c r="H34" s="74"/>
    </row>
    <row r="35" spans="1:10">
      <c r="A35" s="73" t="s">
        <v>9</v>
      </c>
      <c r="B35" s="74">
        <f>'3.Other Exp &amp; Taxes'!E23</f>
        <v>494000</v>
      </c>
      <c r="C35" s="74">
        <f>'3.Other Exp &amp; Taxes'!F23</f>
        <v>518700</v>
      </c>
      <c r="D35" s="74">
        <f>'3.Other Exp &amp; Taxes'!G23</f>
        <v>544635</v>
      </c>
      <c r="E35" s="74">
        <f>'3.Other Exp &amp; Taxes'!H23</f>
        <v>571866.75000000012</v>
      </c>
      <c r="F35" s="74">
        <f>'3.Other Exp &amp; Taxes'!I23</f>
        <v>600460.08750000014</v>
      </c>
      <c r="G35" s="74">
        <f>'3.Other Exp &amp; Taxes'!J23</f>
        <v>630483.09187500016</v>
      </c>
      <c r="H35" s="74">
        <f>'3.Other Exp &amp; Taxes'!K23</f>
        <v>662007.24646875018</v>
      </c>
    </row>
    <row r="36" spans="1:10">
      <c r="A36" s="75" t="s">
        <v>318</v>
      </c>
      <c r="B36" s="91">
        <f t="shared" ref="B36:H36" si="4">SUM(B28:B35)</f>
        <v>710000</v>
      </c>
      <c r="C36" s="91">
        <f t="shared" si="4"/>
        <v>745500</v>
      </c>
      <c r="D36" s="91">
        <f t="shared" si="4"/>
        <v>782775</v>
      </c>
      <c r="E36" s="91">
        <f t="shared" si="4"/>
        <v>821913.75000000023</v>
      </c>
      <c r="F36" s="91">
        <f t="shared" si="4"/>
        <v>863009.43750000023</v>
      </c>
      <c r="G36" s="91">
        <f t="shared" si="4"/>
        <v>906159.90937500028</v>
      </c>
      <c r="H36" s="91">
        <f t="shared" si="4"/>
        <v>951467.90484375029</v>
      </c>
    </row>
    <row r="37" spans="1:10">
      <c r="A37" s="73"/>
      <c r="B37" s="74"/>
      <c r="C37" s="74"/>
      <c r="D37" s="74"/>
      <c r="E37" s="74"/>
      <c r="F37" s="74"/>
      <c r="G37" s="74"/>
      <c r="H37" s="74"/>
    </row>
    <row r="38" spans="1:10">
      <c r="A38" s="75" t="s">
        <v>323</v>
      </c>
      <c r="B38" s="91">
        <f t="shared" ref="B38:H38" si="5">B25+B36</f>
        <v>58282284.32</v>
      </c>
      <c r="C38" s="91">
        <f t="shared" si="5"/>
        <v>66788690.844000004</v>
      </c>
      <c r="D38" s="91">
        <f t="shared" si="5"/>
        <v>75443453.51760003</v>
      </c>
      <c r="E38" s="91">
        <f t="shared" si="5"/>
        <v>84796720.731450021</v>
      </c>
      <c r="F38" s="91">
        <f t="shared" si="5"/>
        <v>94896706.032891035</v>
      </c>
      <c r="G38" s="91">
        <f t="shared" si="5"/>
        <v>105794698.06264749</v>
      </c>
      <c r="H38" s="91">
        <f t="shared" si="5"/>
        <v>117545247.53029747</v>
      </c>
    </row>
    <row r="39" spans="1:10">
      <c r="A39" s="73"/>
      <c r="B39" s="74"/>
      <c r="C39" s="74"/>
      <c r="D39" s="74"/>
      <c r="E39" s="74"/>
      <c r="F39" s="74"/>
      <c r="G39" s="74"/>
      <c r="H39" s="74"/>
    </row>
    <row r="40" spans="1:10">
      <c r="A40" s="75" t="s">
        <v>137</v>
      </c>
      <c r="B40" s="91">
        <f t="shared" ref="B40:H40" si="6">B15-B38</f>
        <v>3267727.8399999887</v>
      </c>
      <c r="C40" s="91">
        <f t="shared" si="6"/>
        <v>3853494.4200000092</v>
      </c>
      <c r="D40" s="91">
        <f t="shared" si="6"/>
        <v>4428419.8895999789</v>
      </c>
      <c r="E40" s="91">
        <f t="shared" si="6"/>
        <v>5051204.1701099873</v>
      </c>
      <c r="F40" s="91">
        <f t="shared" si="6"/>
        <v>5725195.8289470077</v>
      </c>
      <c r="G40" s="91">
        <f t="shared" si="6"/>
        <v>6453958.6432424933</v>
      </c>
      <c r="H40" s="91">
        <f t="shared" si="6"/>
        <v>7241284.7493949831</v>
      </c>
      <c r="J40" s="52">
        <f>B49+B42+B43</f>
        <v>2615349.6110707186</v>
      </c>
    </row>
    <row r="41" spans="1:10">
      <c r="A41" s="73"/>
      <c r="B41" s="74"/>
      <c r="C41" s="74"/>
      <c r="D41" s="74"/>
      <c r="E41" s="74"/>
      <c r="F41" s="74"/>
      <c r="G41" s="74"/>
      <c r="H41" s="74"/>
      <c r="J41">
        <f>'5.Closing Stock &amp; W Capital'!E57</f>
        <v>455967.51879452047</v>
      </c>
    </row>
    <row r="42" spans="1:10">
      <c r="A42" s="73" t="s">
        <v>17</v>
      </c>
      <c r="B42" s="74">
        <f>'3.Other Exp &amp; Taxes'!C66</f>
        <v>544435.74297999998</v>
      </c>
      <c r="C42" s="74">
        <f>'3.Other Exp &amp; Taxes'!D66</f>
        <v>544435.74297999998</v>
      </c>
      <c r="D42" s="74">
        <f>'3.Other Exp &amp; Taxes'!E66</f>
        <v>544435.74297999998</v>
      </c>
      <c r="E42" s="74">
        <f>'3.Other Exp &amp; Taxes'!F66</f>
        <v>544435.74297999998</v>
      </c>
      <c r="F42" s="74">
        <f>'3.Other Exp &amp; Taxes'!G66</f>
        <v>544435.74297999998</v>
      </c>
      <c r="G42" s="74">
        <f>'3.Other Exp &amp; Taxes'!H66</f>
        <v>544435.74297999998</v>
      </c>
      <c r="H42" s="74">
        <f>'3.Other Exp &amp; Taxes'!I66</f>
        <v>544435.74297999998</v>
      </c>
      <c r="J42" s="52">
        <f>J40+J41</f>
        <v>3071317.1298652389</v>
      </c>
    </row>
    <row r="43" spans="1:10">
      <c r="A43" s="73" t="s">
        <v>138</v>
      </c>
      <c r="B43" s="74">
        <f>'3.Other Exp &amp; Taxes'!C86</f>
        <v>14832</v>
      </c>
      <c r="C43" s="74">
        <f>'3.Other Exp &amp; Taxes'!D86</f>
        <v>14832</v>
      </c>
      <c r="D43" s="74">
        <f>'3.Other Exp &amp; Taxes'!E86</f>
        <v>14832</v>
      </c>
      <c r="E43" s="74">
        <f>'3.Other Exp &amp; Taxes'!F86</f>
        <v>14832</v>
      </c>
      <c r="F43" s="74">
        <f>'3.Other Exp &amp; Taxes'!G86</f>
        <v>14832</v>
      </c>
      <c r="G43" s="74">
        <f>'3.Other Exp &amp; Taxes'!H86</f>
        <v>0</v>
      </c>
      <c r="H43" s="74">
        <f>'3.Other Exp &amp; Taxes'!I86</f>
        <v>0</v>
      </c>
    </row>
    <row r="44" spans="1:10">
      <c r="A44" s="73"/>
      <c r="B44" s="74"/>
      <c r="C44" s="74"/>
      <c r="D44" s="74"/>
      <c r="E44" s="74"/>
      <c r="F44" s="74"/>
      <c r="G44" s="74"/>
      <c r="H44" s="74"/>
    </row>
    <row r="45" spans="1:10">
      <c r="A45" s="75" t="s">
        <v>139</v>
      </c>
      <c r="B45" s="91">
        <f>B40-B42-B43</f>
        <v>2708460.0970199886</v>
      </c>
      <c r="C45" s="91">
        <f t="shared" ref="C45:H45" si="7">C40-C42-C43</f>
        <v>3294226.6770200091</v>
      </c>
      <c r="D45" s="91">
        <f t="shared" si="7"/>
        <v>3869152.1466199788</v>
      </c>
      <c r="E45" s="91">
        <f t="shared" si="7"/>
        <v>4491936.4271299876</v>
      </c>
      <c r="F45" s="91">
        <f t="shared" si="7"/>
        <v>5165928.085967008</v>
      </c>
      <c r="G45" s="91">
        <f t="shared" si="7"/>
        <v>5909522.9002624936</v>
      </c>
      <c r="H45" s="91">
        <f t="shared" si="7"/>
        <v>6696849.0064149834</v>
      </c>
    </row>
    <row r="46" spans="1:10">
      <c r="A46" s="73"/>
      <c r="B46" s="74"/>
      <c r="C46" s="74"/>
      <c r="D46" s="74"/>
      <c r="E46" s="74"/>
      <c r="F46" s="74"/>
      <c r="G46" s="74"/>
      <c r="H46" s="74"/>
    </row>
    <row r="47" spans="1:10">
      <c r="A47" s="73" t="s">
        <v>24</v>
      </c>
      <c r="B47" s="74">
        <f>'8.Cash Flow '!C27+'8.Cash Flow '!C29</f>
        <v>652378.22892927018</v>
      </c>
      <c r="C47" s="74">
        <f>'8.Cash Flow '!D27+'8.Cash Flow '!D29</f>
        <v>694180.25319950131</v>
      </c>
      <c r="D47" s="74">
        <f>'8.Cash Flow '!E27+'8.Cash Flow '!E29</f>
        <v>667270.44081715308</v>
      </c>
      <c r="E47" s="74">
        <f>'8.Cash Flow '!F27+'8.Cash Flow '!F29</f>
        <v>635433.9524005492</v>
      </c>
      <c r="F47" s="74">
        <f>'8.Cash Flow '!G27+'8.Cash Flow '!G29</f>
        <v>597892.05666668888</v>
      </c>
      <c r="G47" s="74">
        <f>'8.Cash Flow '!H27+'8.Cash Flow '!H29</f>
        <v>553755.65376515919</v>
      </c>
      <c r="H47" s="74">
        <f>'8.Cash Flow '!I27+'8.Cash Flow '!I29</f>
        <v>502010.50194996508</v>
      </c>
    </row>
    <row r="48" spans="1:10">
      <c r="A48" s="73"/>
      <c r="B48" s="74"/>
      <c r="C48" s="74"/>
      <c r="D48" s="74"/>
      <c r="E48" s="74"/>
      <c r="F48" s="74"/>
      <c r="G48" s="74"/>
      <c r="H48" s="74"/>
    </row>
    <row r="49" spans="1:9">
      <c r="A49" s="73" t="s">
        <v>25</v>
      </c>
      <c r="B49" s="74">
        <f>B45-B47</f>
        <v>2056081.8680907185</v>
      </c>
      <c r="C49" s="74">
        <f t="shared" ref="C49:H49" si="8">C45-C47</f>
        <v>2600046.4238205077</v>
      </c>
      <c r="D49" s="74">
        <f t="shared" si="8"/>
        <v>3201881.7058028257</v>
      </c>
      <c r="E49" s="74">
        <f t="shared" si="8"/>
        <v>3856502.4747294383</v>
      </c>
      <c r="F49" s="74">
        <f t="shared" si="8"/>
        <v>4568036.029300319</v>
      </c>
      <c r="G49" s="74">
        <f t="shared" si="8"/>
        <v>5355767.2464973349</v>
      </c>
      <c r="H49" s="74">
        <f t="shared" si="8"/>
        <v>6194838.5044650184</v>
      </c>
    </row>
    <row r="50" spans="1:9">
      <c r="A50" s="73" t="s">
        <v>26</v>
      </c>
      <c r="B50" s="74">
        <f>'3.Other Exp &amp; Taxes'!B99</f>
        <v>253499.94047838682</v>
      </c>
      <c r="C50" s="74">
        <f>'3.Other Exp &amp; Taxes'!C99</f>
        <v>446856.40682813205</v>
      </c>
      <c r="D50" s="74">
        <f>'3.Other Exp &amp; Taxes'!D99</f>
        <v>646692.16511453467</v>
      </c>
      <c r="E50" s="74">
        <f>'3.Other Exp &amp; Taxes'!E99</f>
        <v>853818.02051180392</v>
      </c>
      <c r="F50" s="74">
        <f>'3.Other Exp &amp; Taxes'!F99</f>
        <v>1070727.2713210303</v>
      </c>
      <c r="G50" s="74">
        <f>'3.Other Exp &amp; Taxes'!G99</f>
        <v>1303410.8291632424</v>
      </c>
      <c r="H50" s="74">
        <f>'3.Other Exp &amp; Taxes'!H99</f>
        <v>1546102.6627035588</v>
      </c>
    </row>
    <row r="51" spans="1:9">
      <c r="A51" s="75" t="s">
        <v>28</v>
      </c>
      <c r="B51" s="74">
        <f>B49-B50</f>
        <v>1802581.9276123317</v>
      </c>
      <c r="C51" s="74">
        <f>C49-C50</f>
        <v>2153190.0169923757</v>
      </c>
      <c r="D51" s="74">
        <f>D49-D50</f>
        <v>2555189.5406882912</v>
      </c>
      <c r="E51" s="74">
        <f>E49-E50</f>
        <v>3002684.4542176342</v>
      </c>
      <c r="F51" s="74">
        <f>F49-F50</f>
        <v>3497308.7579792887</v>
      </c>
      <c r="G51" s="74">
        <f t="shared" ref="G51:H51" si="9">G49-G50</f>
        <v>4052356.4173340928</v>
      </c>
      <c r="H51" s="74">
        <f t="shared" si="9"/>
        <v>4648735.8417614596</v>
      </c>
    </row>
    <row r="52" spans="1:9">
      <c r="A52" s="72"/>
      <c r="B52" s="88"/>
      <c r="C52" s="88"/>
      <c r="D52" s="88"/>
      <c r="E52" s="88"/>
      <c r="F52" s="88"/>
      <c r="G52" s="88"/>
      <c r="H52" s="88"/>
    </row>
    <row r="53" spans="1:9">
      <c r="A53" s="72" t="s">
        <v>505</v>
      </c>
      <c r="B53" s="88">
        <f>B51</f>
        <v>1802581.9276123317</v>
      </c>
      <c r="C53" s="88">
        <f t="shared" ref="C53:H53" si="10">B53+C51</f>
        <v>3955771.9446047074</v>
      </c>
      <c r="D53" s="88">
        <f t="shared" si="10"/>
        <v>6510961.4852929991</v>
      </c>
      <c r="E53" s="88">
        <f t="shared" si="10"/>
        <v>9513645.9395106323</v>
      </c>
      <c r="F53" s="88">
        <f t="shared" si="10"/>
        <v>13010954.697489921</v>
      </c>
      <c r="G53" s="88">
        <f t="shared" si="10"/>
        <v>17063311.114824012</v>
      </c>
      <c r="H53" s="88">
        <f t="shared" si="10"/>
        <v>21712046.956585471</v>
      </c>
    </row>
    <row r="56" spans="1:9" ht="32.5" customHeight="1">
      <c r="A56" s="443" t="s">
        <v>399</v>
      </c>
      <c r="B56" s="443"/>
      <c r="C56" s="443"/>
      <c r="D56" s="443"/>
      <c r="E56" s="443"/>
      <c r="F56" s="443"/>
      <c r="G56" s="443"/>
      <c r="H56" s="443"/>
      <c r="I56" s="443"/>
    </row>
    <row r="58" spans="1:9">
      <c r="A58" s="240"/>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3" zoomScale="80" zoomScaleSheetLayoutView="80" workbookViewId="0">
      <selection activeCell="A4" sqref="A4:H43"/>
    </sheetView>
  </sheetViews>
  <sheetFormatPr defaultRowHeight="14.5"/>
  <cols>
    <col min="1" max="1" width="37.26953125" style="44" customWidth="1"/>
    <col min="2" max="2" width="18.453125" style="44" bestFit="1" customWidth="1"/>
    <col min="3" max="3" width="12.453125" style="44" bestFit="1" customWidth="1"/>
    <col min="4" max="6" width="13.54296875" style="44" bestFit="1" customWidth="1"/>
    <col min="7" max="8" width="12.453125" style="44" bestFit="1" customWidth="1"/>
    <col min="9" max="9" width="9.1796875" style="44"/>
    <col min="10" max="10" width="32.81640625" style="44" bestFit="1" customWidth="1"/>
    <col min="11" max="16" width="8.7265625" style="44" bestFit="1"/>
    <col min="17" max="17" width="10.1796875" style="44" bestFit="1" customWidth="1"/>
    <col min="18" max="256" width="9.1796875" style="44"/>
    <col min="257" max="257" width="37.26953125" style="44" customWidth="1"/>
    <col min="258" max="258" width="18.453125" style="44" bestFit="1" customWidth="1"/>
    <col min="259" max="262" width="12.453125" style="44" bestFit="1" customWidth="1"/>
    <col min="263" max="263" width="11.7265625" style="44" bestFit="1" customWidth="1"/>
    <col min="264" max="512" width="9.1796875" style="44"/>
    <col min="513" max="513" width="37.26953125" style="44" customWidth="1"/>
    <col min="514" max="514" width="18.453125" style="44" bestFit="1" customWidth="1"/>
    <col min="515" max="518" width="12.453125" style="44" bestFit="1" customWidth="1"/>
    <col min="519" max="519" width="11.7265625" style="44" bestFit="1" customWidth="1"/>
    <col min="520" max="768" width="9.1796875" style="44"/>
    <col min="769" max="769" width="37.26953125" style="44" customWidth="1"/>
    <col min="770" max="770" width="18.453125" style="44" bestFit="1" customWidth="1"/>
    <col min="771" max="774" width="12.453125" style="44" bestFit="1" customWidth="1"/>
    <col min="775" max="775" width="11.7265625" style="44" bestFit="1" customWidth="1"/>
    <col min="776" max="1024" width="9.1796875" style="44"/>
    <col min="1025" max="1025" width="37.26953125" style="44" customWidth="1"/>
    <col min="1026" max="1026" width="18.453125" style="44" bestFit="1" customWidth="1"/>
    <col min="1027" max="1030" width="12.453125" style="44" bestFit="1" customWidth="1"/>
    <col min="1031" max="1031" width="11.7265625" style="44" bestFit="1" customWidth="1"/>
    <col min="1032" max="1280" width="9.1796875" style="44"/>
    <col min="1281" max="1281" width="37.26953125" style="44" customWidth="1"/>
    <col min="1282" max="1282" width="18.453125" style="44" bestFit="1" customWidth="1"/>
    <col min="1283" max="1286" width="12.453125" style="44" bestFit="1" customWidth="1"/>
    <col min="1287" max="1287" width="11.7265625" style="44" bestFit="1" customWidth="1"/>
    <col min="1288" max="1536" width="9.1796875" style="44"/>
    <col min="1537" max="1537" width="37.26953125" style="44" customWidth="1"/>
    <col min="1538" max="1538" width="18.453125" style="44" bestFit="1" customWidth="1"/>
    <col min="1539" max="1542" width="12.453125" style="44" bestFit="1" customWidth="1"/>
    <col min="1543" max="1543" width="11.7265625" style="44" bestFit="1" customWidth="1"/>
    <col min="1544" max="1792" width="9.1796875" style="44"/>
    <col min="1793" max="1793" width="37.26953125" style="44" customWidth="1"/>
    <col min="1794" max="1794" width="18.453125" style="44" bestFit="1" customWidth="1"/>
    <col min="1795" max="1798" width="12.453125" style="44" bestFit="1" customWidth="1"/>
    <col min="1799" max="1799" width="11.7265625" style="44" bestFit="1" customWidth="1"/>
    <col min="1800" max="2048" width="9.1796875" style="44"/>
    <col min="2049" max="2049" width="37.26953125" style="44" customWidth="1"/>
    <col min="2050" max="2050" width="18.453125" style="44" bestFit="1" customWidth="1"/>
    <col min="2051" max="2054" width="12.453125" style="44" bestFit="1" customWidth="1"/>
    <col min="2055" max="2055" width="11.7265625" style="44" bestFit="1" customWidth="1"/>
    <col min="2056" max="2304" width="9.1796875" style="44"/>
    <col min="2305" max="2305" width="37.26953125" style="44" customWidth="1"/>
    <col min="2306" max="2306" width="18.453125" style="44" bestFit="1" customWidth="1"/>
    <col min="2307" max="2310" width="12.453125" style="44" bestFit="1" customWidth="1"/>
    <col min="2311" max="2311" width="11.7265625" style="44" bestFit="1" customWidth="1"/>
    <col min="2312" max="2560" width="9.1796875" style="44"/>
    <col min="2561" max="2561" width="37.26953125" style="44" customWidth="1"/>
    <col min="2562" max="2562" width="18.453125" style="44" bestFit="1" customWidth="1"/>
    <col min="2563" max="2566" width="12.453125" style="44" bestFit="1" customWidth="1"/>
    <col min="2567" max="2567" width="11.7265625" style="44" bestFit="1" customWidth="1"/>
    <col min="2568" max="2816" width="9.1796875" style="44"/>
    <col min="2817" max="2817" width="37.26953125" style="44" customWidth="1"/>
    <col min="2818" max="2818" width="18.453125" style="44" bestFit="1" customWidth="1"/>
    <col min="2819" max="2822" width="12.453125" style="44" bestFit="1" customWidth="1"/>
    <col min="2823" max="2823" width="11.7265625" style="44" bestFit="1" customWidth="1"/>
    <col min="2824" max="3072" width="9.1796875" style="44"/>
    <col min="3073" max="3073" width="37.26953125" style="44" customWidth="1"/>
    <col min="3074" max="3074" width="18.453125" style="44" bestFit="1" customWidth="1"/>
    <col min="3075" max="3078" width="12.453125" style="44" bestFit="1" customWidth="1"/>
    <col min="3079" max="3079" width="11.7265625" style="44" bestFit="1" customWidth="1"/>
    <col min="3080" max="3328" width="9.1796875" style="44"/>
    <col min="3329" max="3329" width="37.26953125" style="44" customWidth="1"/>
    <col min="3330" max="3330" width="18.453125" style="44" bestFit="1" customWidth="1"/>
    <col min="3331" max="3334" width="12.453125" style="44" bestFit="1" customWidth="1"/>
    <col min="3335" max="3335" width="11.7265625" style="44" bestFit="1" customWidth="1"/>
    <col min="3336" max="3584" width="9.1796875" style="44"/>
    <col min="3585" max="3585" width="37.26953125" style="44" customWidth="1"/>
    <col min="3586" max="3586" width="18.453125" style="44" bestFit="1" customWidth="1"/>
    <col min="3587" max="3590" width="12.453125" style="44" bestFit="1" customWidth="1"/>
    <col min="3591" max="3591" width="11.7265625" style="44" bestFit="1" customWidth="1"/>
    <col min="3592" max="3840" width="9.1796875" style="44"/>
    <col min="3841" max="3841" width="37.26953125" style="44" customWidth="1"/>
    <col min="3842" max="3842" width="18.453125" style="44" bestFit="1" customWidth="1"/>
    <col min="3843" max="3846" width="12.453125" style="44" bestFit="1" customWidth="1"/>
    <col min="3847" max="3847" width="11.7265625" style="44" bestFit="1" customWidth="1"/>
    <col min="3848" max="4096" width="9.1796875" style="44"/>
    <col min="4097" max="4097" width="37.26953125" style="44" customWidth="1"/>
    <col min="4098" max="4098" width="18.453125" style="44" bestFit="1" customWidth="1"/>
    <col min="4099" max="4102" width="12.453125" style="44" bestFit="1" customWidth="1"/>
    <col min="4103" max="4103" width="11.7265625" style="44" bestFit="1" customWidth="1"/>
    <col min="4104" max="4352" width="9.1796875" style="44"/>
    <col min="4353" max="4353" width="37.26953125" style="44" customWidth="1"/>
    <col min="4354" max="4354" width="18.453125" style="44" bestFit="1" customWidth="1"/>
    <col min="4355" max="4358" width="12.453125" style="44" bestFit="1" customWidth="1"/>
    <col min="4359" max="4359" width="11.7265625" style="44" bestFit="1" customWidth="1"/>
    <col min="4360" max="4608" width="9.1796875" style="44"/>
    <col min="4609" max="4609" width="37.26953125" style="44" customWidth="1"/>
    <col min="4610" max="4610" width="18.453125" style="44" bestFit="1" customWidth="1"/>
    <col min="4611" max="4614" width="12.453125" style="44" bestFit="1" customWidth="1"/>
    <col min="4615" max="4615" width="11.7265625" style="44" bestFit="1" customWidth="1"/>
    <col min="4616" max="4864" width="9.1796875" style="44"/>
    <col min="4865" max="4865" width="37.26953125" style="44" customWidth="1"/>
    <col min="4866" max="4866" width="18.453125" style="44" bestFit="1" customWidth="1"/>
    <col min="4867" max="4870" width="12.453125" style="44" bestFit="1" customWidth="1"/>
    <col min="4871" max="4871" width="11.7265625" style="44" bestFit="1" customWidth="1"/>
    <col min="4872" max="5120" width="9.1796875" style="44"/>
    <col min="5121" max="5121" width="37.26953125" style="44" customWidth="1"/>
    <col min="5122" max="5122" width="18.453125" style="44" bestFit="1" customWidth="1"/>
    <col min="5123" max="5126" width="12.453125" style="44" bestFit="1" customWidth="1"/>
    <col min="5127" max="5127" width="11.7265625" style="44" bestFit="1" customWidth="1"/>
    <col min="5128" max="5376" width="9.1796875" style="44"/>
    <col min="5377" max="5377" width="37.26953125" style="44" customWidth="1"/>
    <col min="5378" max="5378" width="18.453125" style="44" bestFit="1" customWidth="1"/>
    <col min="5379" max="5382" width="12.453125" style="44" bestFit="1" customWidth="1"/>
    <col min="5383" max="5383" width="11.7265625" style="44" bestFit="1" customWidth="1"/>
    <col min="5384" max="5632" width="9.1796875" style="44"/>
    <col min="5633" max="5633" width="37.26953125" style="44" customWidth="1"/>
    <col min="5634" max="5634" width="18.453125" style="44" bestFit="1" customWidth="1"/>
    <col min="5635" max="5638" width="12.453125" style="44" bestFit="1" customWidth="1"/>
    <col min="5639" max="5639" width="11.7265625" style="44" bestFit="1" customWidth="1"/>
    <col min="5640" max="5888" width="9.1796875" style="44"/>
    <col min="5889" max="5889" width="37.26953125" style="44" customWidth="1"/>
    <col min="5890" max="5890" width="18.453125" style="44" bestFit="1" customWidth="1"/>
    <col min="5891" max="5894" width="12.453125" style="44" bestFit="1" customWidth="1"/>
    <col min="5895" max="5895" width="11.7265625" style="44" bestFit="1" customWidth="1"/>
    <col min="5896" max="6144" width="9.1796875" style="44"/>
    <col min="6145" max="6145" width="37.26953125" style="44" customWidth="1"/>
    <col min="6146" max="6146" width="18.453125" style="44" bestFit="1" customWidth="1"/>
    <col min="6147" max="6150" width="12.453125" style="44" bestFit="1" customWidth="1"/>
    <col min="6151" max="6151" width="11.7265625" style="44" bestFit="1" customWidth="1"/>
    <col min="6152" max="6400" width="9.1796875" style="44"/>
    <col min="6401" max="6401" width="37.26953125" style="44" customWidth="1"/>
    <col min="6402" max="6402" width="18.453125" style="44" bestFit="1" customWidth="1"/>
    <col min="6403" max="6406" width="12.453125" style="44" bestFit="1" customWidth="1"/>
    <col min="6407" max="6407" width="11.7265625" style="44" bestFit="1" customWidth="1"/>
    <col min="6408" max="6656" width="9.1796875" style="44"/>
    <col min="6657" max="6657" width="37.26953125" style="44" customWidth="1"/>
    <col min="6658" max="6658" width="18.453125" style="44" bestFit="1" customWidth="1"/>
    <col min="6659" max="6662" width="12.453125" style="44" bestFit="1" customWidth="1"/>
    <col min="6663" max="6663" width="11.7265625" style="44" bestFit="1" customWidth="1"/>
    <col min="6664" max="6912" width="9.1796875" style="44"/>
    <col min="6913" max="6913" width="37.26953125" style="44" customWidth="1"/>
    <col min="6914" max="6914" width="18.453125" style="44" bestFit="1" customWidth="1"/>
    <col min="6915" max="6918" width="12.453125" style="44" bestFit="1" customWidth="1"/>
    <col min="6919" max="6919" width="11.7265625" style="44" bestFit="1" customWidth="1"/>
    <col min="6920" max="7168" width="9.1796875" style="44"/>
    <col min="7169" max="7169" width="37.26953125" style="44" customWidth="1"/>
    <col min="7170" max="7170" width="18.453125" style="44" bestFit="1" customWidth="1"/>
    <col min="7171" max="7174" width="12.453125" style="44" bestFit="1" customWidth="1"/>
    <col min="7175" max="7175" width="11.7265625" style="44" bestFit="1" customWidth="1"/>
    <col min="7176" max="7424" width="9.1796875" style="44"/>
    <col min="7425" max="7425" width="37.26953125" style="44" customWidth="1"/>
    <col min="7426" max="7426" width="18.453125" style="44" bestFit="1" customWidth="1"/>
    <col min="7427" max="7430" width="12.453125" style="44" bestFit="1" customWidth="1"/>
    <col min="7431" max="7431" width="11.7265625" style="44" bestFit="1" customWidth="1"/>
    <col min="7432" max="7680" width="9.1796875" style="44"/>
    <col min="7681" max="7681" width="37.26953125" style="44" customWidth="1"/>
    <col min="7682" max="7682" width="18.453125" style="44" bestFit="1" customWidth="1"/>
    <col min="7683" max="7686" width="12.453125" style="44" bestFit="1" customWidth="1"/>
    <col min="7687" max="7687" width="11.7265625" style="44" bestFit="1" customWidth="1"/>
    <col min="7688" max="7936" width="9.1796875" style="44"/>
    <col min="7937" max="7937" width="37.26953125" style="44" customWidth="1"/>
    <col min="7938" max="7938" width="18.453125" style="44" bestFit="1" customWidth="1"/>
    <col min="7939" max="7942" width="12.453125" style="44" bestFit="1" customWidth="1"/>
    <col min="7943" max="7943" width="11.7265625" style="44" bestFit="1" customWidth="1"/>
    <col min="7944" max="8192" width="9.1796875" style="44"/>
    <col min="8193" max="8193" width="37.26953125" style="44" customWidth="1"/>
    <col min="8194" max="8194" width="18.453125" style="44" bestFit="1" customWidth="1"/>
    <col min="8195" max="8198" width="12.453125" style="44" bestFit="1" customWidth="1"/>
    <col min="8199" max="8199" width="11.7265625" style="44" bestFit="1" customWidth="1"/>
    <col min="8200" max="8448" width="9.1796875" style="44"/>
    <col min="8449" max="8449" width="37.26953125" style="44" customWidth="1"/>
    <col min="8450" max="8450" width="18.453125" style="44" bestFit="1" customWidth="1"/>
    <col min="8451" max="8454" width="12.453125" style="44" bestFit="1" customWidth="1"/>
    <col min="8455" max="8455" width="11.7265625" style="44" bestFit="1" customWidth="1"/>
    <col min="8456" max="8704" width="9.1796875" style="44"/>
    <col min="8705" max="8705" width="37.26953125" style="44" customWidth="1"/>
    <col min="8706" max="8706" width="18.453125" style="44" bestFit="1" customWidth="1"/>
    <col min="8707" max="8710" width="12.453125" style="44" bestFit="1" customWidth="1"/>
    <col min="8711" max="8711" width="11.7265625" style="44" bestFit="1" customWidth="1"/>
    <col min="8712" max="8960" width="9.1796875" style="44"/>
    <col min="8961" max="8961" width="37.26953125" style="44" customWidth="1"/>
    <col min="8962" max="8962" width="18.453125" style="44" bestFit="1" customWidth="1"/>
    <col min="8963" max="8966" width="12.453125" style="44" bestFit="1" customWidth="1"/>
    <col min="8967" max="8967" width="11.7265625" style="44" bestFit="1" customWidth="1"/>
    <col min="8968" max="9216" width="9.1796875" style="44"/>
    <col min="9217" max="9217" width="37.26953125" style="44" customWidth="1"/>
    <col min="9218" max="9218" width="18.453125" style="44" bestFit="1" customWidth="1"/>
    <col min="9219" max="9222" width="12.453125" style="44" bestFit="1" customWidth="1"/>
    <col min="9223" max="9223" width="11.7265625" style="44" bestFit="1" customWidth="1"/>
    <col min="9224" max="9472" width="9.1796875" style="44"/>
    <col min="9473" max="9473" width="37.26953125" style="44" customWidth="1"/>
    <col min="9474" max="9474" width="18.453125" style="44" bestFit="1" customWidth="1"/>
    <col min="9475" max="9478" width="12.453125" style="44" bestFit="1" customWidth="1"/>
    <col min="9479" max="9479" width="11.7265625" style="44" bestFit="1" customWidth="1"/>
    <col min="9480" max="9728" width="9.1796875" style="44"/>
    <col min="9729" max="9729" width="37.26953125" style="44" customWidth="1"/>
    <col min="9730" max="9730" width="18.453125" style="44" bestFit="1" customWidth="1"/>
    <col min="9731" max="9734" width="12.453125" style="44" bestFit="1" customWidth="1"/>
    <col min="9735" max="9735" width="11.7265625" style="44" bestFit="1" customWidth="1"/>
    <col min="9736" max="9984" width="9.1796875" style="44"/>
    <col min="9985" max="9985" width="37.26953125" style="44" customWidth="1"/>
    <col min="9986" max="9986" width="18.453125" style="44" bestFit="1" customWidth="1"/>
    <col min="9987" max="9990" width="12.453125" style="44" bestFit="1" customWidth="1"/>
    <col min="9991" max="9991" width="11.7265625" style="44" bestFit="1" customWidth="1"/>
    <col min="9992" max="10240" width="9.1796875" style="44"/>
    <col min="10241" max="10241" width="37.26953125" style="44" customWidth="1"/>
    <col min="10242" max="10242" width="18.453125" style="44" bestFit="1" customWidth="1"/>
    <col min="10243" max="10246" width="12.453125" style="44" bestFit="1" customWidth="1"/>
    <col min="10247" max="10247" width="11.7265625" style="44" bestFit="1" customWidth="1"/>
    <col min="10248" max="10496" width="9.1796875" style="44"/>
    <col min="10497" max="10497" width="37.26953125" style="44" customWidth="1"/>
    <col min="10498" max="10498" width="18.453125" style="44" bestFit="1" customWidth="1"/>
    <col min="10499" max="10502" width="12.453125" style="44" bestFit="1" customWidth="1"/>
    <col min="10503" max="10503" width="11.7265625" style="44" bestFit="1" customWidth="1"/>
    <col min="10504" max="10752" width="9.1796875" style="44"/>
    <col min="10753" max="10753" width="37.26953125" style="44" customWidth="1"/>
    <col min="10754" max="10754" width="18.453125" style="44" bestFit="1" customWidth="1"/>
    <col min="10755" max="10758" width="12.453125" style="44" bestFit="1" customWidth="1"/>
    <col min="10759" max="10759" width="11.7265625" style="44" bestFit="1" customWidth="1"/>
    <col min="10760" max="11008" width="9.1796875" style="44"/>
    <col min="11009" max="11009" width="37.26953125" style="44" customWidth="1"/>
    <col min="11010" max="11010" width="18.453125" style="44" bestFit="1" customWidth="1"/>
    <col min="11011" max="11014" width="12.453125" style="44" bestFit="1" customWidth="1"/>
    <col min="11015" max="11015" width="11.7265625" style="44" bestFit="1" customWidth="1"/>
    <col min="11016" max="11264" width="9.1796875" style="44"/>
    <col min="11265" max="11265" width="37.26953125" style="44" customWidth="1"/>
    <col min="11266" max="11266" width="18.453125" style="44" bestFit="1" customWidth="1"/>
    <col min="11267" max="11270" width="12.453125" style="44" bestFit="1" customWidth="1"/>
    <col min="11271" max="11271" width="11.7265625" style="44" bestFit="1" customWidth="1"/>
    <col min="11272" max="11520" width="9.1796875" style="44"/>
    <col min="11521" max="11521" width="37.26953125" style="44" customWidth="1"/>
    <col min="11522" max="11522" width="18.453125" style="44" bestFit="1" customWidth="1"/>
    <col min="11523" max="11526" width="12.453125" style="44" bestFit="1" customWidth="1"/>
    <col min="11527" max="11527" width="11.7265625" style="44" bestFit="1" customWidth="1"/>
    <col min="11528" max="11776" width="9.1796875" style="44"/>
    <col min="11777" max="11777" width="37.26953125" style="44" customWidth="1"/>
    <col min="11778" max="11778" width="18.453125" style="44" bestFit="1" customWidth="1"/>
    <col min="11779" max="11782" width="12.453125" style="44" bestFit="1" customWidth="1"/>
    <col min="11783" max="11783" width="11.7265625" style="44" bestFit="1" customWidth="1"/>
    <col min="11784" max="12032" width="9.1796875" style="44"/>
    <col min="12033" max="12033" width="37.26953125" style="44" customWidth="1"/>
    <col min="12034" max="12034" width="18.453125" style="44" bestFit="1" customWidth="1"/>
    <col min="12035" max="12038" width="12.453125" style="44" bestFit="1" customWidth="1"/>
    <col min="12039" max="12039" width="11.7265625" style="44" bestFit="1" customWidth="1"/>
    <col min="12040" max="12288" width="9.1796875" style="44"/>
    <col min="12289" max="12289" width="37.26953125" style="44" customWidth="1"/>
    <col min="12290" max="12290" width="18.453125" style="44" bestFit="1" customWidth="1"/>
    <col min="12291" max="12294" width="12.453125" style="44" bestFit="1" customWidth="1"/>
    <col min="12295" max="12295" width="11.7265625" style="44" bestFit="1" customWidth="1"/>
    <col min="12296" max="12544" width="9.1796875" style="44"/>
    <col min="12545" max="12545" width="37.26953125" style="44" customWidth="1"/>
    <col min="12546" max="12546" width="18.453125" style="44" bestFit="1" customWidth="1"/>
    <col min="12547" max="12550" width="12.453125" style="44" bestFit="1" customWidth="1"/>
    <col min="12551" max="12551" width="11.7265625" style="44" bestFit="1" customWidth="1"/>
    <col min="12552" max="12800" width="9.1796875" style="44"/>
    <col min="12801" max="12801" width="37.26953125" style="44" customWidth="1"/>
    <col min="12802" max="12802" width="18.453125" style="44" bestFit="1" customWidth="1"/>
    <col min="12803" max="12806" width="12.453125" style="44" bestFit="1" customWidth="1"/>
    <col min="12807" max="12807" width="11.7265625" style="44" bestFit="1" customWidth="1"/>
    <col min="12808" max="13056" width="9.1796875" style="44"/>
    <col min="13057" max="13057" width="37.26953125" style="44" customWidth="1"/>
    <col min="13058" max="13058" width="18.453125" style="44" bestFit="1" customWidth="1"/>
    <col min="13059" max="13062" width="12.453125" style="44" bestFit="1" customWidth="1"/>
    <col min="13063" max="13063" width="11.7265625" style="44" bestFit="1" customWidth="1"/>
    <col min="13064" max="13312" width="9.1796875" style="44"/>
    <col min="13313" max="13313" width="37.26953125" style="44" customWidth="1"/>
    <col min="13314" max="13314" width="18.453125" style="44" bestFit="1" customWidth="1"/>
    <col min="13315" max="13318" width="12.453125" style="44" bestFit="1" customWidth="1"/>
    <col min="13319" max="13319" width="11.7265625" style="44" bestFit="1" customWidth="1"/>
    <col min="13320" max="13568" width="9.1796875" style="44"/>
    <col min="13569" max="13569" width="37.26953125" style="44" customWidth="1"/>
    <col min="13570" max="13570" width="18.453125" style="44" bestFit="1" customWidth="1"/>
    <col min="13571" max="13574" width="12.453125" style="44" bestFit="1" customWidth="1"/>
    <col min="13575" max="13575" width="11.7265625" style="44" bestFit="1" customWidth="1"/>
    <col min="13576" max="13824" width="9.1796875" style="44"/>
    <col min="13825" max="13825" width="37.26953125" style="44" customWidth="1"/>
    <col min="13826" max="13826" width="18.453125" style="44" bestFit="1" customWidth="1"/>
    <col min="13827" max="13830" width="12.453125" style="44" bestFit="1" customWidth="1"/>
    <col min="13831" max="13831" width="11.7265625" style="44" bestFit="1" customWidth="1"/>
    <col min="13832" max="14080" width="9.1796875" style="44"/>
    <col min="14081" max="14081" width="37.26953125" style="44" customWidth="1"/>
    <col min="14082" max="14082" width="18.453125" style="44" bestFit="1" customWidth="1"/>
    <col min="14083" max="14086" width="12.453125" style="44" bestFit="1" customWidth="1"/>
    <col min="14087" max="14087" width="11.7265625" style="44" bestFit="1" customWidth="1"/>
    <col min="14088" max="14336" width="9.1796875" style="44"/>
    <col min="14337" max="14337" width="37.26953125" style="44" customWidth="1"/>
    <col min="14338" max="14338" width="18.453125" style="44" bestFit="1" customWidth="1"/>
    <col min="14339" max="14342" width="12.453125" style="44" bestFit="1" customWidth="1"/>
    <col min="14343" max="14343" width="11.7265625" style="44" bestFit="1" customWidth="1"/>
    <col min="14344" max="14592" width="9.1796875" style="44"/>
    <col min="14593" max="14593" width="37.26953125" style="44" customWidth="1"/>
    <col min="14594" max="14594" width="18.453125" style="44" bestFit="1" customWidth="1"/>
    <col min="14595" max="14598" width="12.453125" style="44" bestFit="1" customWidth="1"/>
    <col min="14599" max="14599" width="11.7265625" style="44" bestFit="1" customWidth="1"/>
    <col min="14600" max="14848" width="9.1796875" style="44"/>
    <col min="14849" max="14849" width="37.26953125" style="44" customWidth="1"/>
    <col min="14850" max="14850" width="18.453125" style="44" bestFit="1" customWidth="1"/>
    <col min="14851" max="14854" width="12.453125" style="44" bestFit="1" customWidth="1"/>
    <col min="14855" max="14855" width="11.7265625" style="44" bestFit="1" customWidth="1"/>
    <col min="14856" max="15104" width="9.1796875" style="44"/>
    <col min="15105" max="15105" width="37.26953125" style="44" customWidth="1"/>
    <col min="15106" max="15106" width="18.453125" style="44" bestFit="1" customWidth="1"/>
    <col min="15107" max="15110" width="12.453125" style="44" bestFit="1" customWidth="1"/>
    <col min="15111" max="15111" width="11.7265625" style="44" bestFit="1" customWidth="1"/>
    <col min="15112" max="15360" width="9.1796875" style="44"/>
    <col min="15361" max="15361" width="37.26953125" style="44" customWidth="1"/>
    <col min="15362" max="15362" width="18.453125" style="44" bestFit="1" customWidth="1"/>
    <col min="15363" max="15366" width="12.453125" style="44" bestFit="1" customWidth="1"/>
    <col min="15367" max="15367" width="11.7265625" style="44" bestFit="1" customWidth="1"/>
    <col min="15368" max="15616" width="9.1796875" style="44"/>
    <col min="15617" max="15617" width="37.26953125" style="44" customWidth="1"/>
    <col min="15618" max="15618" width="18.453125" style="44" bestFit="1" customWidth="1"/>
    <col min="15619" max="15622" width="12.453125" style="44" bestFit="1" customWidth="1"/>
    <col min="15623" max="15623" width="11.7265625" style="44" bestFit="1" customWidth="1"/>
    <col min="15624" max="15872" width="9.1796875" style="44"/>
    <col min="15873" max="15873" width="37.26953125" style="44" customWidth="1"/>
    <col min="15874" max="15874" width="18.453125" style="44" bestFit="1" customWidth="1"/>
    <col min="15875" max="15878" width="12.453125" style="44" bestFit="1" customWidth="1"/>
    <col min="15879" max="15879" width="11.7265625" style="44" bestFit="1" customWidth="1"/>
    <col min="15880" max="16128" width="9.1796875" style="44"/>
    <col min="16129" max="16129" width="37.26953125" style="44" customWidth="1"/>
    <col min="16130" max="16130" width="18.453125" style="44" bestFit="1" customWidth="1"/>
    <col min="16131" max="16134" width="12.453125" style="44" bestFit="1" customWidth="1"/>
    <col min="16135" max="16135" width="11.7265625" style="44" bestFit="1" customWidth="1"/>
    <col min="16136" max="16384" width="9.1796875" style="44"/>
  </cols>
  <sheetData>
    <row r="1" spans="1:18">
      <c r="A1" s="424"/>
      <c r="B1" s="424"/>
      <c r="C1" s="424"/>
      <c r="D1" s="424"/>
      <c r="E1" s="424"/>
      <c r="F1" s="424"/>
    </row>
    <row r="2" spans="1:18" ht="17.5">
      <c r="A2" s="444" t="s">
        <v>557</v>
      </c>
      <c r="B2" s="411"/>
      <c r="C2" s="411"/>
      <c r="D2" s="411"/>
      <c r="E2" s="411"/>
      <c r="F2" s="411"/>
      <c r="G2" s="411"/>
      <c r="H2" s="411"/>
      <c r="I2" s="5"/>
    </row>
    <row r="3" spans="1:18">
      <c r="A3" s="66"/>
      <c r="B3" s="45"/>
      <c r="C3" s="45"/>
      <c r="D3" s="45"/>
      <c r="E3" s="45"/>
      <c r="F3" s="45"/>
    </row>
    <row r="4" spans="1:18">
      <c r="A4" s="94" t="s">
        <v>0</v>
      </c>
      <c r="B4" s="95" t="s">
        <v>2</v>
      </c>
      <c r="C4" s="95" t="s">
        <v>3</v>
      </c>
      <c r="D4" s="95" t="s">
        <v>4</v>
      </c>
      <c r="E4" s="95" t="s">
        <v>5</v>
      </c>
      <c r="F4" s="95" t="s">
        <v>6</v>
      </c>
      <c r="G4" s="96" t="s">
        <v>169</v>
      </c>
      <c r="H4" s="96" t="s">
        <v>168</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247</v>
      </c>
      <c r="B8" s="105">
        <f>'8.Cash Flow '!C36</f>
        <v>2146142.6274765432</v>
      </c>
      <c r="C8" s="105">
        <f>'8.Cash Flow '!D36</f>
        <v>4842526.4379909039</v>
      </c>
      <c r="D8" s="105">
        <f>'8.Cash Flow '!E36</f>
        <v>7425075.579971984</v>
      </c>
      <c r="E8" s="105">
        <f>'8.Cash Flow '!F36</f>
        <v>10387660.369385496</v>
      </c>
      <c r="F8" s="105">
        <f>'8.Cash Flow '!G36</f>
        <v>13768854.673008323</v>
      </c>
      <c r="G8" s="105">
        <f>'8.Cash Flow '!H36</f>
        <v>17604609.268458158</v>
      </c>
      <c r="H8" s="105">
        <f>'8.Cash Flow '!I36</f>
        <v>21940224.676239908</v>
      </c>
      <c r="K8" s="53"/>
      <c r="L8" s="53"/>
      <c r="M8" s="53"/>
      <c r="N8" s="53"/>
      <c r="O8" s="53"/>
      <c r="P8" s="53"/>
      <c r="Q8" s="53"/>
      <c r="R8" s="53"/>
    </row>
    <row r="9" spans="1:18">
      <c r="A9" s="106" t="s">
        <v>248</v>
      </c>
      <c r="B9" s="107">
        <f>'5.Closing Stock &amp; W Capital'!E42</f>
        <v>2360822.3842191775</v>
      </c>
      <c r="C9" s="107">
        <f>'5.Closing Stock &amp; W Capital'!F42</f>
        <v>2709563.2704000007</v>
      </c>
      <c r="D9" s="107">
        <f>'5.Closing Stock &amp; W Capital'!G42</f>
        <v>3063578.7060295902</v>
      </c>
      <c r="E9" s="107">
        <f>'5.Closing Stock &amp; W Capital'!H42</f>
        <v>3446221.7770461375</v>
      </c>
      <c r="F9" s="107">
        <f>'5.Closing Stock &amp; W Capital'!I42</f>
        <v>3859470.2083992674</v>
      </c>
      <c r="G9" s="107">
        <f>'5.Closing Stock &amp; W Capital'!J42</f>
        <v>4305427.9284450961</v>
      </c>
      <c r="H9" s="107">
        <f>'5.Closing Stock &amp; W Capital'!K42</f>
        <v>4786332.7449745052</v>
      </c>
      <c r="K9" s="53"/>
      <c r="L9" s="53"/>
      <c r="M9" s="53"/>
      <c r="N9" s="53"/>
      <c r="O9" s="53"/>
      <c r="P9" s="53"/>
      <c r="Q9" s="53"/>
      <c r="R9" s="53"/>
    </row>
    <row r="10" spans="1:18">
      <c r="A10" s="106" t="s">
        <v>596</v>
      </c>
      <c r="B10" s="107">
        <f>'5.Closing Stock &amp; W Capital'!E21</f>
        <v>578263.68000000005</v>
      </c>
      <c r="C10" s="107">
        <f>'5.Closing Stock &amp; W Capital'!F21</f>
        <v>657774.93599999999</v>
      </c>
      <c r="D10" s="107">
        <f>'5.Closing Stock &amp; W Capital'!G21</f>
        <v>743791.65840000019</v>
      </c>
      <c r="E10" s="107">
        <f>'5.Closing Stock &amp; W Capital'!H21</f>
        <v>836765.6157000002</v>
      </c>
      <c r="F10" s="107">
        <f>'5.Closing Stock &amp; W Capital'!I21</f>
        <v>937177.48958400032</v>
      </c>
      <c r="G10" s="107">
        <f>'5.Closing Stock &amp; W Capital'!J21</f>
        <v>1045538.6368171503</v>
      </c>
      <c r="H10" s="107">
        <f>'5.Closing Stock &amp; W Capital'!K21</f>
        <v>1162392.9550496559</v>
      </c>
      <c r="K10" s="53"/>
      <c r="L10" s="53"/>
      <c r="M10" s="53"/>
      <c r="N10" s="53"/>
      <c r="O10" s="53"/>
      <c r="P10" s="53"/>
      <c r="Q10" s="53"/>
      <c r="R10" s="53"/>
    </row>
    <row r="11" spans="1:18">
      <c r="A11" s="102" t="s">
        <v>249</v>
      </c>
      <c r="B11" s="105">
        <f t="shared" ref="B11:H11" si="0">SUM(B8:B10)</f>
        <v>5085228.69169572</v>
      </c>
      <c r="C11" s="105">
        <f t="shared" si="0"/>
        <v>8209864.6443909043</v>
      </c>
      <c r="D11" s="105">
        <f t="shared" si="0"/>
        <v>11232445.944401575</v>
      </c>
      <c r="E11" s="105">
        <f t="shared" si="0"/>
        <v>14670647.762131633</v>
      </c>
      <c r="F11" s="105">
        <f t="shared" si="0"/>
        <v>18565502.370991588</v>
      </c>
      <c r="G11" s="105">
        <f t="shared" si="0"/>
        <v>22955575.833720405</v>
      </c>
      <c r="H11" s="105">
        <f t="shared" si="0"/>
        <v>27888950.376264069</v>
      </c>
    </row>
    <row r="12" spans="1:18">
      <c r="A12" s="102"/>
      <c r="B12" s="107"/>
      <c r="C12" s="107"/>
      <c r="D12" s="107"/>
      <c r="E12" s="107"/>
      <c r="F12" s="107"/>
      <c r="G12" s="107"/>
      <c r="H12" s="107"/>
      <c r="J12" s="53"/>
      <c r="K12" s="53"/>
      <c r="L12" s="53"/>
      <c r="M12" s="53"/>
      <c r="N12" s="53"/>
      <c r="O12" s="53"/>
      <c r="P12" s="53"/>
      <c r="Q12" s="53"/>
    </row>
    <row r="13" spans="1:18">
      <c r="A13" s="108" t="s">
        <v>250</v>
      </c>
      <c r="B13" s="107">
        <f>'3.Other Exp &amp; Taxes'!C65</f>
        <v>15011786.6</v>
      </c>
      <c r="C13" s="107">
        <f>'3.Other Exp &amp; Taxes'!D65</f>
        <v>14467350.85702</v>
      </c>
      <c r="D13" s="107">
        <f>'3.Other Exp &amp; Taxes'!E65</f>
        <v>13922915.114040002</v>
      </c>
      <c r="E13" s="107">
        <f>'3.Other Exp &amp; Taxes'!F65</f>
        <v>13378479.371060003</v>
      </c>
      <c r="F13" s="107">
        <f>'3.Other Exp &amp; Taxes'!G65</f>
        <v>12834043.628080003</v>
      </c>
      <c r="G13" s="107">
        <f>'3.Other Exp &amp; Taxes'!H65</f>
        <v>12289607.885100003</v>
      </c>
      <c r="H13" s="107">
        <f>'3.Other Exp &amp; Taxes'!I65</f>
        <v>11745172.142120004</v>
      </c>
    </row>
    <row r="14" spans="1:18">
      <c r="A14" s="108" t="s">
        <v>251</v>
      </c>
      <c r="B14" s="107">
        <f>'3.Other Exp &amp; Taxes'!C66</f>
        <v>544435.74297999998</v>
      </c>
      <c r="C14" s="107">
        <f>'3.Other Exp &amp; Taxes'!D66</f>
        <v>544435.74297999998</v>
      </c>
      <c r="D14" s="107">
        <f>'3.Other Exp &amp; Taxes'!E66</f>
        <v>544435.74297999998</v>
      </c>
      <c r="E14" s="107">
        <f>'3.Other Exp &amp; Taxes'!F66</f>
        <v>544435.74297999998</v>
      </c>
      <c r="F14" s="107">
        <f>'3.Other Exp &amp; Taxes'!G66</f>
        <v>544435.74297999998</v>
      </c>
      <c r="G14" s="107">
        <f>'3.Other Exp &amp; Taxes'!H66</f>
        <v>544435.74297999998</v>
      </c>
      <c r="H14" s="107">
        <f>'3.Other Exp &amp; Taxes'!I66</f>
        <v>544435.74297999998</v>
      </c>
      <c r="K14" s="53"/>
      <c r="L14" s="53"/>
      <c r="M14" s="53"/>
      <c r="N14" s="53"/>
      <c r="O14" s="53"/>
      <c r="P14" s="53"/>
      <c r="Q14" s="53"/>
    </row>
    <row r="15" spans="1:18" s="45" customFormat="1">
      <c r="A15" s="102" t="s">
        <v>198</v>
      </c>
      <c r="B15" s="105">
        <f t="shared" ref="B15:H15" si="1">B13-B14</f>
        <v>14467350.85702</v>
      </c>
      <c r="C15" s="105">
        <f t="shared" si="1"/>
        <v>13922915.11404</v>
      </c>
      <c r="D15" s="105">
        <f t="shared" si="1"/>
        <v>13378479.371060003</v>
      </c>
      <c r="E15" s="105">
        <f t="shared" si="1"/>
        <v>12834043.628080003</v>
      </c>
      <c r="F15" s="105">
        <f t="shared" si="1"/>
        <v>12289607.885100003</v>
      </c>
      <c r="G15" s="105">
        <f t="shared" si="1"/>
        <v>11745172.142120004</v>
      </c>
      <c r="H15" s="105">
        <f t="shared" si="1"/>
        <v>11200736.399140004</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507</v>
      </c>
      <c r="B18" s="105">
        <f>'8.Cash Flow '!C21-'6.Cons Profit &amp; Loss'!B43</f>
        <v>59328</v>
      </c>
      <c r="C18" s="105">
        <f>B18-'6.Cons Profit &amp; Loss'!C43</f>
        <v>44496</v>
      </c>
      <c r="D18" s="105">
        <f>C18-'6.Cons Profit &amp; Loss'!D43</f>
        <v>29664</v>
      </c>
      <c r="E18" s="105">
        <f>D18-'6.Cons Profit &amp; Loss'!E43</f>
        <v>14832</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253</v>
      </c>
      <c r="B20" s="110">
        <f t="shared" ref="B20:H20" si="2">B11+B15+B17+B18</f>
        <v>19611907.548715718</v>
      </c>
      <c r="C20" s="110">
        <f t="shared" si="2"/>
        <v>22177275.758430906</v>
      </c>
      <c r="D20" s="110">
        <f t="shared" si="2"/>
        <v>24640589.315461576</v>
      </c>
      <c r="E20" s="110">
        <f t="shared" si="2"/>
        <v>27519523.390211634</v>
      </c>
      <c r="F20" s="110">
        <f t="shared" si="2"/>
        <v>30855110.256091591</v>
      </c>
      <c r="G20" s="110">
        <f t="shared" si="2"/>
        <v>34700747.975840405</v>
      </c>
      <c r="H20" s="110">
        <f t="shared" si="2"/>
        <v>39089686.775404073</v>
      </c>
    </row>
    <row r="21" spans="1:8">
      <c r="A21" s="97"/>
      <c r="B21" s="111"/>
      <c r="C21" s="111"/>
      <c r="D21" s="111"/>
      <c r="E21" s="111"/>
      <c r="F21" s="111"/>
      <c r="G21" s="111"/>
      <c r="H21" s="111"/>
    </row>
    <row r="22" spans="1:8">
      <c r="A22" s="100" t="s">
        <v>254</v>
      </c>
      <c r="B22" s="112"/>
      <c r="C22" s="112"/>
      <c r="D22" s="112"/>
      <c r="E22" s="112"/>
      <c r="F22" s="112"/>
      <c r="G22" s="112"/>
      <c r="H22" s="112"/>
    </row>
    <row r="23" spans="1:8">
      <c r="A23" s="102" t="s">
        <v>255</v>
      </c>
      <c r="B23" s="112"/>
      <c r="C23" s="112"/>
      <c r="D23" s="112"/>
      <c r="E23" s="112"/>
      <c r="F23" s="112"/>
      <c r="G23" s="112"/>
      <c r="H23" s="112"/>
    </row>
    <row r="24" spans="1:8">
      <c r="A24" s="106" t="s">
        <v>256</v>
      </c>
      <c r="B24" s="105">
        <f>'5.Closing Stock &amp; W Capital'!E56-'5.Closing Stock &amp; W Capital'!E57</f>
        <v>1367902.5563835613</v>
      </c>
      <c r="C24" s="105">
        <f>'5.Closing Stock &amp; W Capital'!F56-'5.Closing Stock &amp; W Capital'!F57</f>
        <v>2099231.5907835625</v>
      </c>
      <c r="D24" s="105">
        <f>'5.Closing Stock &amp; W Capital'!G56-'5.Closing Stock &amp; W Capital'!G57</f>
        <v>2373872.0995528777</v>
      </c>
      <c r="E24" s="105">
        <f>'5.Closing Stock &amp; W Capital'!H56-'5.Closing Stock &amp; W Capital'!H57</f>
        <v>2670728.5802221643</v>
      </c>
      <c r="F24" s="105">
        <f>'5.Closing Stock &amp; W Capital'!I56-'5.Closing Stock &amp; W Capital'!I57</f>
        <v>2991336.0287095001</v>
      </c>
      <c r="G24" s="105">
        <f>'5.Closing Stock &amp; W Capital'!J56-'5.Closing Stock &amp; W Capital'!J57</f>
        <v>3337327.4005950149</v>
      </c>
      <c r="H24" s="105">
        <f>'5.Closing Stock &amp; W Capital'!K56-'5.Closing Stock &amp; W Capital'!K57</f>
        <v>3710439.5695973025</v>
      </c>
    </row>
    <row r="25" spans="1:8">
      <c r="A25" s="106" t="s">
        <v>257</v>
      </c>
      <c r="B25" s="111">
        <f>'5.Closing Stock &amp; W Capital'!E55</f>
        <v>1115215.9890410958</v>
      </c>
      <c r="C25" s="111">
        <f>'5.Closing Stock &amp; W Capital'!F55</f>
        <v>1268106.6156164382</v>
      </c>
      <c r="D25" s="111">
        <f>'5.Closing Stock &amp; W Capital'!G55</f>
        <v>1433498.2648767126</v>
      </c>
      <c r="E25" s="111">
        <f>'5.Closing Stock &amp; W Capital'!H55</f>
        <v>1612258.8125239732</v>
      </c>
      <c r="F25" s="111">
        <f>'5.Closing Stock &amp; W Capital'!I55</f>
        <v>1805311.6692737676</v>
      </c>
      <c r="G25" s="111">
        <f>'5.Closing Stock &amp; W Capital'!J55</f>
        <v>2013639.1646672317</v>
      </c>
      <c r="H25" s="111">
        <f>'5.Closing Stock &amp; W Capital'!K55</f>
        <v>2238286.130426859</v>
      </c>
    </row>
    <row r="26" spans="1:8">
      <c r="A26" s="106" t="s">
        <v>258</v>
      </c>
      <c r="B26" s="105"/>
      <c r="C26" s="105"/>
      <c r="D26" s="105"/>
      <c r="E26" s="105"/>
      <c r="F26" s="105"/>
      <c r="G26" s="105"/>
      <c r="H26" s="105"/>
    </row>
    <row r="27" spans="1:8">
      <c r="A27" s="102" t="s">
        <v>259</v>
      </c>
      <c r="B27" s="110">
        <f t="shared" ref="B27:H27" si="3">SUM(B24:B26)</f>
        <v>2483118.5454246569</v>
      </c>
      <c r="C27" s="110">
        <f t="shared" si="3"/>
        <v>3367338.2064000005</v>
      </c>
      <c r="D27" s="110">
        <f t="shared" si="3"/>
        <v>3807370.3644295903</v>
      </c>
      <c r="E27" s="110">
        <f t="shared" si="3"/>
        <v>4282987.3927461375</v>
      </c>
      <c r="F27" s="110">
        <f t="shared" si="3"/>
        <v>4796647.6979832677</v>
      </c>
      <c r="G27" s="110">
        <f t="shared" si="3"/>
        <v>5350966.5652622469</v>
      </c>
      <c r="H27" s="110">
        <f t="shared" si="3"/>
        <v>5948725.7000241615</v>
      </c>
    </row>
    <row r="28" spans="1:8">
      <c r="A28" s="102" t="s">
        <v>260</v>
      </c>
      <c r="B28" s="110">
        <f>'4.TL repayment sch'!G21</f>
        <v>3897292.9568842421</v>
      </c>
      <c r="C28" s="110">
        <f>'4.TL repayment sch'!G33</f>
        <v>3425251.4886317146</v>
      </c>
      <c r="D28" s="110">
        <f>'4.TL repayment sch'!G45</f>
        <v>2893343.3469445212</v>
      </c>
      <c r="E28" s="110">
        <f>'4.TL repayment sch'!G57</f>
        <v>2293975.9391604094</v>
      </c>
      <c r="F28" s="110">
        <f>'4.TL repayment sch'!G69</f>
        <v>1618593.7418239573</v>
      </c>
      <c r="G28" s="110">
        <f>'4.TL repayment sch'!G81</f>
        <v>857556.17695971322</v>
      </c>
      <c r="H28" s="110">
        <f>'[5]Term Loan'!J72+'[5]Term Loan'!S72</f>
        <v>0</v>
      </c>
    </row>
    <row r="29" spans="1:8">
      <c r="A29" s="102" t="s">
        <v>261</v>
      </c>
      <c r="B29" s="110"/>
      <c r="C29" s="110"/>
      <c r="D29" s="110"/>
      <c r="E29" s="110"/>
      <c r="F29" s="110"/>
      <c r="G29" s="110"/>
      <c r="H29" s="110"/>
    </row>
    <row r="30" spans="1:8">
      <c r="A30" s="102"/>
      <c r="B30" s="113"/>
      <c r="C30" s="113"/>
      <c r="D30" s="113"/>
      <c r="E30" s="113"/>
      <c r="F30" s="113"/>
      <c r="G30" s="113"/>
      <c r="H30" s="113"/>
    </row>
    <row r="31" spans="1:8">
      <c r="A31" s="109" t="s">
        <v>262</v>
      </c>
      <c r="B31" s="110">
        <f t="shared" ref="B31:H31" si="4">SUM(B27:B29)</f>
        <v>6380411.5023088995</v>
      </c>
      <c r="C31" s="110">
        <f t="shared" si="4"/>
        <v>6792589.6950317156</v>
      </c>
      <c r="D31" s="110">
        <f t="shared" si="4"/>
        <v>6700713.7113741115</v>
      </c>
      <c r="E31" s="110">
        <f t="shared" si="4"/>
        <v>6576963.3319065468</v>
      </c>
      <c r="F31" s="110">
        <f t="shared" si="4"/>
        <v>6415241.439807225</v>
      </c>
      <c r="G31" s="110">
        <f t="shared" si="4"/>
        <v>6208522.7422219599</v>
      </c>
      <c r="H31" s="110">
        <f t="shared" si="4"/>
        <v>5948725.7000241615</v>
      </c>
    </row>
    <row r="32" spans="1:8">
      <c r="A32" s="97"/>
      <c r="B32" s="114"/>
      <c r="C32" s="114"/>
      <c r="D32" s="114"/>
      <c r="E32" s="114"/>
      <c r="F32" s="114"/>
      <c r="G32" s="114"/>
      <c r="H32" s="114"/>
    </row>
    <row r="33" spans="1:8">
      <c r="A33" s="108" t="s">
        <v>263</v>
      </c>
      <c r="B33" s="107">
        <f>'1.Project Cost and MOF'!E21</f>
        <v>3198914.1187945195</v>
      </c>
      <c r="C33" s="107">
        <f>B33</f>
        <v>3198914.1187945195</v>
      </c>
      <c r="D33" s="107">
        <f t="shared" ref="D33:H34" si="5">C33</f>
        <v>3198914.1187945195</v>
      </c>
      <c r="E33" s="107">
        <f t="shared" si="5"/>
        <v>3198914.1187945195</v>
      </c>
      <c r="F33" s="107">
        <f t="shared" si="5"/>
        <v>3198914.1187945195</v>
      </c>
      <c r="G33" s="107">
        <f t="shared" si="5"/>
        <v>3198914.1187945195</v>
      </c>
      <c r="H33" s="107">
        <f t="shared" si="5"/>
        <v>3198914.1187945195</v>
      </c>
    </row>
    <row r="34" spans="1:8">
      <c r="A34" s="108" t="s">
        <v>508</v>
      </c>
      <c r="B34" s="107">
        <f>'1.Project Cost and MOF'!E19</f>
        <v>8230000</v>
      </c>
      <c r="C34" s="107">
        <f>B34</f>
        <v>8230000</v>
      </c>
      <c r="D34" s="107">
        <f t="shared" si="5"/>
        <v>8230000</v>
      </c>
      <c r="E34" s="107">
        <f t="shared" si="5"/>
        <v>8230000</v>
      </c>
      <c r="F34" s="107">
        <f t="shared" si="5"/>
        <v>8230000</v>
      </c>
      <c r="G34" s="107">
        <f t="shared" si="5"/>
        <v>8230000</v>
      </c>
      <c r="H34" s="107">
        <f t="shared" si="5"/>
        <v>8230000</v>
      </c>
    </row>
    <row r="35" spans="1:8">
      <c r="A35" s="102" t="s">
        <v>264</v>
      </c>
      <c r="B35" s="107"/>
      <c r="C35" s="107"/>
      <c r="D35" s="107"/>
      <c r="E35" s="107"/>
      <c r="F35" s="107"/>
      <c r="G35" s="107"/>
      <c r="H35" s="107"/>
    </row>
    <row r="36" spans="1:8">
      <c r="A36" s="108" t="s">
        <v>265</v>
      </c>
      <c r="B36" s="107">
        <v>0</v>
      </c>
      <c r="C36" s="107">
        <f t="shared" ref="C36:H36" si="6">B39</f>
        <v>1802581.9276123317</v>
      </c>
      <c r="D36" s="107">
        <f t="shared" si="6"/>
        <v>3955771.9446047074</v>
      </c>
      <c r="E36" s="107">
        <f t="shared" si="6"/>
        <v>6510961.4852929991</v>
      </c>
      <c r="F36" s="107">
        <f t="shared" si="6"/>
        <v>9513645.9395106323</v>
      </c>
      <c r="G36" s="107">
        <f t="shared" si="6"/>
        <v>13010954.697489921</v>
      </c>
      <c r="H36" s="107">
        <f t="shared" si="6"/>
        <v>17063311.114824012</v>
      </c>
    </row>
    <row r="37" spans="1:8">
      <c r="A37" s="108" t="s">
        <v>266</v>
      </c>
      <c r="B37" s="107">
        <f>'6.Cons Profit &amp; Loss'!B53</f>
        <v>1802581.9276123317</v>
      </c>
      <c r="C37" s="107">
        <f>'6.Cons Profit &amp; Loss'!C51</f>
        <v>2153190.0169923757</v>
      </c>
      <c r="D37" s="107">
        <f>'6.Cons Profit &amp; Loss'!D51</f>
        <v>2555189.5406882912</v>
      </c>
      <c r="E37" s="107">
        <f>'6.Cons Profit &amp; Loss'!E51</f>
        <v>3002684.4542176342</v>
      </c>
      <c r="F37" s="107">
        <f>'6.Cons Profit &amp; Loss'!F51</f>
        <v>3497308.7579792887</v>
      </c>
      <c r="G37" s="107">
        <f>'6.Cons Profit &amp; Loss'!G51</f>
        <v>4052356.4173340928</v>
      </c>
      <c r="H37" s="107">
        <f>'6.Cons Profit &amp; Loss'!H51</f>
        <v>4648735.8417614596</v>
      </c>
    </row>
    <row r="38" spans="1:8">
      <c r="A38" s="108" t="s">
        <v>267</v>
      </c>
      <c r="B38" s="107"/>
      <c r="C38" s="107"/>
      <c r="D38" s="107"/>
      <c r="E38" s="107"/>
      <c r="F38" s="107"/>
      <c r="G38" s="107"/>
      <c r="H38" s="107"/>
    </row>
    <row r="39" spans="1:8">
      <c r="A39" s="108" t="s">
        <v>268</v>
      </c>
      <c r="B39" s="107">
        <f t="shared" ref="B39:H39" si="7">B36+B37-B38</f>
        <v>1802581.9276123317</v>
      </c>
      <c r="C39" s="107">
        <f t="shared" si="7"/>
        <v>3955771.9446047074</v>
      </c>
      <c r="D39" s="107">
        <f t="shared" si="7"/>
        <v>6510961.4852929991</v>
      </c>
      <c r="E39" s="107">
        <f t="shared" si="7"/>
        <v>9513645.9395106323</v>
      </c>
      <c r="F39" s="107">
        <f t="shared" si="7"/>
        <v>13010954.697489921</v>
      </c>
      <c r="G39" s="107">
        <f t="shared" si="7"/>
        <v>17063311.114824012</v>
      </c>
      <c r="H39" s="107">
        <f t="shared" si="7"/>
        <v>21712046.956585471</v>
      </c>
    </row>
    <row r="40" spans="1:8">
      <c r="A40" s="108"/>
      <c r="B40" s="112"/>
      <c r="C40" s="112"/>
      <c r="D40" s="112"/>
      <c r="E40" s="112"/>
      <c r="F40" s="112"/>
      <c r="G40" s="112"/>
      <c r="H40" s="112"/>
    </row>
    <row r="41" spans="1:8">
      <c r="A41" s="115" t="s">
        <v>269</v>
      </c>
      <c r="B41" s="116">
        <f t="shared" ref="B41:H41" si="8">B33+B39+B34</f>
        <v>13231496.04640685</v>
      </c>
      <c r="C41" s="116">
        <f t="shared" si="8"/>
        <v>15384686.063399227</v>
      </c>
      <c r="D41" s="116">
        <f t="shared" si="8"/>
        <v>17939875.604087517</v>
      </c>
      <c r="E41" s="116">
        <f t="shared" si="8"/>
        <v>20942560.058305152</v>
      </c>
      <c r="F41" s="116">
        <f t="shared" si="8"/>
        <v>24439868.81628444</v>
      </c>
      <c r="G41" s="116">
        <f t="shared" si="8"/>
        <v>28492225.233618531</v>
      </c>
      <c r="H41" s="116">
        <f t="shared" si="8"/>
        <v>33140961.07537999</v>
      </c>
    </row>
    <row r="42" spans="1:8">
      <c r="A42" s="97"/>
      <c r="B42" s="107"/>
      <c r="C42" s="107"/>
      <c r="D42" s="107"/>
      <c r="E42" s="107"/>
      <c r="F42" s="107"/>
      <c r="G42" s="107"/>
      <c r="H42" s="107"/>
    </row>
    <row r="43" spans="1:8">
      <c r="A43" s="109" t="s">
        <v>270</v>
      </c>
      <c r="B43" s="110">
        <f t="shared" ref="B43:H43" si="9">B31+B41</f>
        <v>19611907.548715748</v>
      </c>
      <c r="C43" s="110">
        <f t="shared" si="9"/>
        <v>22177275.758430943</v>
      </c>
      <c r="D43" s="110">
        <f t="shared" si="9"/>
        <v>24640589.315461628</v>
      </c>
      <c r="E43" s="110">
        <f t="shared" si="9"/>
        <v>27519523.390211698</v>
      </c>
      <c r="F43" s="110">
        <f t="shared" si="9"/>
        <v>30855110.256091665</v>
      </c>
      <c r="G43" s="110">
        <f t="shared" si="9"/>
        <v>34700747.975840494</v>
      </c>
      <c r="H43" s="110">
        <f t="shared" si="9"/>
        <v>39089686.775404155</v>
      </c>
    </row>
    <row r="44" spans="1:8">
      <c r="A44" s="97"/>
      <c r="B44" s="117"/>
      <c r="C44" s="117"/>
      <c r="D44" s="117"/>
      <c r="E44" s="117"/>
      <c r="F44" s="117"/>
      <c r="G44" s="117"/>
      <c r="H44" s="117"/>
    </row>
    <row r="45" spans="1:8">
      <c r="A45" s="118" t="s">
        <v>271</v>
      </c>
      <c r="B45" s="119"/>
      <c r="C45" s="119"/>
      <c r="D45" s="119"/>
      <c r="E45" s="119"/>
      <c r="F45" s="119"/>
      <c r="G45" s="119"/>
      <c r="H45" s="119"/>
    </row>
    <row r="46" spans="1:8">
      <c r="A46" s="120" t="s">
        <v>272</v>
      </c>
      <c r="B46" s="121">
        <f t="shared" ref="B46:H46" si="10">B43-B20</f>
        <v>2.9802322387695313E-8</v>
      </c>
      <c r="C46" s="121">
        <f t="shared" si="10"/>
        <v>3.7252902984619141E-8</v>
      </c>
      <c r="D46" s="121">
        <f t="shared" si="10"/>
        <v>5.2154064178466797E-8</v>
      </c>
      <c r="E46" s="121">
        <f t="shared" si="10"/>
        <v>6.3329935073852539E-8</v>
      </c>
      <c r="F46" s="121">
        <f t="shared" si="10"/>
        <v>7.4505805969238281E-8</v>
      </c>
      <c r="G46" s="121">
        <f t="shared" si="10"/>
        <v>8.9406967163085938E-8</v>
      </c>
      <c r="H46" s="121">
        <f t="shared" si="10"/>
        <v>8.1956386566162109E-8</v>
      </c>
    </row>
    <row r="47" spans="1:8">
      <c r="A47" s="120"/>
      <c r="B47" s="121"/>
      <c r="C47" s="121"/>
      <c r="D47" s="121"/>
      <c r="E47" s="121"/>
      <c r="F47" s="121"/>
      <c r="G47" s="121"/>
      <c r="H47" s="121"/>
    </row>
    <row r="48" spans="1:8" ht="15" thickBot="1">
      <c r="A48" s="122"/>
      <c r="B48" s="123"/>
      <c r="C48" s="123"/>
      <c r="D48" s="123"/>
      <c r="E48" s="123"/>
      <c r="F48" s="123"/>
      <c r="G48" s="123"/>
      <c r="H48" s="123"/>
    </row>
    <row r="49" spans="1:9">
      <c r="B49" s="46"/>
      <c r="C49" s="46"/>
      <c r="D49" s="46"/>
      <c r="E49" s="46"/>
      <c r="F49" s="46"/>
      <c r="G49" s="46"/>
      <c r="H49" s="46"/>
    </row>
    <row r="50" spans="1:9" ht="39.65" customHeight="1">
      <c r="A50" s="445" t="s">
        <v>400</v>
      </c>
      <c r="B50" s="446"/>
      <c r="C50" s="446"/>
      <c r="D50" s="446"/>
      <c r="E50" s="446"/>
      <c r="F50" s="446"/>
      <c r="G50" s="446"/>
      <c r="H50" s="446"/>
      <c r="I50" s="446"/>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VGF</vt:lpstr>
      <vt:lpstr>Output</vt:lpstr>
      <vt:lpstr>Sheet2</vt:lpstr>
      <vt:lpstr>Benefit to farmer</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lpstr>'Benefit to farmer'!Print_Area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2023-01-31T08:17:34Z</dcterms:modified>
</cp:coreProperties>
</file>